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Strategic Projects\06 Planning Scheme\01 Amendments\C232 - Toolern DCP Review\PSA3 Exhibition\01_Exhibition Documents\Background\"/>
    </mc:Choice>
  </mc:AlternateContent>
  <xr:revisionPtr revIDLastSave="0" documentId="13_ncr:1_{A51EB4F4-E58E-4C92-B318-9CE4B8B22430}" xr6:coauthVersionLast="47" xr6:coauthVersionMax="47" xr10:uidLastSave="{00000000-0000-0000-0000-000000000000}"/>
  <bookViews>
    <workbookView xWindow="-120" yWindow="-120" windowWidth="29040" windowHeight="15840" tabRatio="635" firstSheet="2" activeTab="13" xr2:uid="{00000000-000D-0000-FFFF-FFFF00000000}"/>
  </bookViews>
  <sheets>
    <sheet name="1.4.3 Transport" sheetId="8" r:id="rId1"/>
    <sheet name="1.4.4 Public Transport" sheetId="9" r:id="rId2"/>
    <sheet name="1.4.5 Community Facilities" sheetId="10" r:id="rId3"/>
    <sheet name="1.4.6 Active Recreation" sheetId="11" r:id="rId4"/>
    <sheet name="1.4.9 CIL Items" sheetId="12" r:id="rId5"/>
    <sheet name="Table 1" sheetId="1" r:id="rId6"/>
    <sheet name="Tables 2" sheetId="2" r:id="rId7"/>
    <sheet name="Table 3" sheetId="3" r:id="rId8"/>
    <sheet name="Table 4" sheetId="4" r:id="rId9"/>
    <sheet name="Table 5" sheetId="5" r:id="rId10"/>
    <sheet name="Table 6" sheetId="6" r:id="rId11"/>
    <sheet name="Table 7" sheetId="7" r:id="rId12"/>
    <sheet name="DIL" sheetId="14" r:id="rId13"/>
    <sheet name="CIL" sheetId="15" r:id="rId14"/>
    <sheet name="Sheet1" sheetId="13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4" l="1"/>
  <c r="C11" i="3"/>
  <c r="F164" i="3" l="1"/>
  <c r="F161" i="3"/>
  <c r="E161" i="3"/>
  <c r="D137" i="3" l="1"/>
  <c r="D136" i="3"/>
  <c r="D113" i="3"/>
  <c r="D112" i="3"/>
  <c r="E152" i="3" l="1"/>
  <c r="U24" i="1" l="1"/>
  <c r="U23" i="1"/>
  <c r="U20" i="1"/>
  <c r="U19" i="1"/>
  <c r="U18" i="1"/>
  <c r="U17" i="1"/>
  <c r="U16" i="1"/>
  <c r="U15" i="1"/>
  <c r="U12" i="1"/>
  <c r="U11" i="1"/>
  <c r="U10" i="1"/>
  <c r="U9" i="1"/>
  <c r="U8" i="1"/>
  <c r="AH127" i="2"/>
  <c r="AD56" i="2"/>
  <c r="AA55" i="2"/>
  <c r="AA14" i="2"/>
  <c r="D21" i="2"/>
  <c r="B68" i="14" l="1"/>
  <c r="B67" i="14"/>
  <c r="B69" i="14"/>
  <c r="T106" i="2" l="1"/>
  <c r="Z105" i="2"/>
  <c r="E87" i="3" l="1"/>
  <c r="R71" i="4" l="1"/>
  <c r="R60" i="4" l="1"/>
  <c r="I21" i="13" l="1"/>
  <c r="I12" i="13"/>
  <c r="I11" i="13"/>
  <c r="I8" i="13"/>
  <c r="I9" i="13"/>
  <c r="I7" i="13"/>
  <c r="D30" i="13"/>
  <c r="A29" i="13"/>
  <c r="A28" i="13"/>
  <c r="A27" i="13"/>
  <c r="A26" i="13"/>
  <c r="D21" i="13"/>
  <c r="T166" i="3"/>
  <c r="H21" i="13" l="1"/>
  <c r="S166" i="3"/>
  <c r="F103" i="3" l="1"/>
  <c r="D103" i="7" l="1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101" i="7"/>
  <c r="D100" i="7"/>
  <c r="D99" i="7"/>
  <c r="D83" i="7"/>
  <c r="D82" i="7"/>
  <c r="D81" i="7"/>
  <c r="D80" i="7"/>
  <c r="D79" i="7"/>
  <c r="D78" i="7"/>
  <c r="D77" i="7"/>
  <c r="D76" i="7"/>
  <c r="D75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39" i="7"/>
  <c r="D36" i="7"/>
  <c r="D35" i="7"/>
  <c r="D34" i="7"/>
  <c r="D33" i="7"/>
  <c r="D32" i="7"/>
  <c r="D31" i="7"/>
  <c r="D30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38" i="8"/>
  <c r="D40" i="7" s="1"/>
  <c r="D36" i="8"/>
  <c r="K54" i="3" s="1"/>
  <c r="O54" i="4" s="1"/>
  <c r="P53" i="5" s="1"/>
  <c r="L54" i="6" s="1"/>
  <c r="D35" i="8"/>
  <c r="K53" i="3" s="1"/>
  <c r="O53" i="4" s="1"/>
  <c r="P52" i="5" s="1"/>
  <c r="L53" i="6" s="1"/>
  <c r="O163" i="4"/>
  <c r="P162" i="5" s="1"/>
  <c r="L163" i="6" s="1"/>
  <c r="K160" i="3"/>
  <c r="O160" i="4" s="1"/>
  <c r="P159" i="5" s="1"/>
  <c r="L160" i="6" s="1"/>
  <c r="C160" i="3"/>
  <c r="K142" i="3"/>
  <c r="O142" i="4" s="1"/>
  <c r="P141" i="5" s="1"/>
  <c r="L142" i="6" s="1"/>
  <c r="K143" i="3"/>
  <c r="O143" i="4" s="1"/>
  <c r="P142" i="5" s="1"/>
  <c r="L143" i="6" s="1"/>
  <c r="K144" i="3"/>
  <c r="O144" i="4" s="1"/>
  <c r="P143" i="5" s="1"/>
  <c r="L144" i="6" s="1"/>
  <c r="K145" i="3"/>
  <c r="O145" i="4" s="1"/>
  <c r="P144" i="5" s="1"/>
  <c r="L145" i="6" s="1"/>
  <c r="K146" i="3"/>
  <c r="O146" i="4" s="1"/>
  <c r="P145" i="5" s="1"/>
  <c r="L146" i="6" s="1"/>
  <c r="K147" i="3"/>
  <c r="O147" i="4" s="1"/>
  <c r="P146" i="5" s="1"/>
  <c r="L147" i="6" s="1"/>
  <c r="K148" i="3"/>
  <c r="O148" i="4" s="1"/>
  <c r="P147" i="5" s="1"/>
  <c r="L148" i="6" s="1"/>
  <c r="K149" i="3"/>
  <c r="O149" i="4" s="1"/>
  <c r="P148" i="5" s="1"/>
  <c r="L149" i="6" s="1"/>
  <c r="K150" i="3"/>
  <c r="O150" i="4" s="1"/>
  <c r="P149" i="5" s="1"/>
  <c r="L150" i="6" s="1"/>
  <c r="K151" i="3"/>
  <c r="O151" i="4" s="1"/>
  <c r="P150" i="5" s="1"/>
  <c r="L151" i="6" s="1"/>
  <c r="K152" i="3"/>
  <c r="O152" i="4" s="1"/>
  <c r="P151" i="5" s="1"/>
  <c r="L152" i="6" s="1"/>
  <c r="K153" i="3"/>
  <c r="O153" i="4" s="1"/>
  <c r="P152" i="5" s="1"/>
  <c r="L153" i="6" s="1"/>
  <c r="K154" i="3"/>
  <c r="O154" i="4" s="1"/>
  <c r="P153" i="5" s="1"/>
  <c r="L154" i="6" s="1"/>
  <c r="K155" i="3"/>
  <c r="O155" i="4" s="1"/>
  <c r="P154" i="5" s="1"/>
  <c r="L155" i="6" s="1"/>
  <c r="K156" i="3"/>
  <c r="O156" i="4" s="1"/>
  <c r="P155" i="5" s="1"/>
  <c r="L156" i="6" s="1"/>
  <c r="K157" i="3"/>
  <c r="O157" i="4" s="1"/>
  <c r="P156" i="5" s="1"/>
  <c r="L157" i="6" s="1"/>
  <c r="K141" i="3"/>
  <c r="O141" i="4" s="1"/>
  <c r="P140" i="5" s="1"/>
  <c r="L141" i="6" s="1"/>
  <c r="D69" i="8"/>
  <c r="K88" i="3" s="1"/>
  <c r="O88" i="4" s="1"/>
  <c r="P87" i="5" s="1"/>
  <c r="L88" i="6" s="1"/>
  <c r="K89" i="3"/>
  <c r="O89" i="4" s="1"/>
  <c r="P88" i="5" s="1"/>
  <c r="L89" i="6" s="1"/>
  <c r="K90" i="3"/>
  <c r="O90" i="4" s="1"/>
  <c r="P89" i="5" s="1"/>
  <c r="L90" i="6" s="1"/>
  <c r="K91" i="3"/>
  <c r="O91" i="4" s="1"/>
  <c r="P90" i="5" s="1"/>
  <c r="L91" i="6" s="1"/>
  <c r="K92" i="3"/>
  <c r="O92" i="4" s="1"/>
  <c r="P91" i="5" s="1"/>
  <c r="L92" i="6" s="1"/>
  <c r="K118" i="3"/>
  <c r="O118" i="4" s="1"/>
  <c r="P117" i="5" s="1"/>
  <c r="L118" i="6" s="1"/>
  <c r="K119" i="3"/>
  <c r="O119" i="4" s="1"/>
  <c r="P118" i="5" s="1"/>
  <c r="L119" i="6" s="1"/>
  <c r="K120" i="3"/>
  <c r="O120" i="4" s="1"/>
  <c r="P119" i="5" s="1"/>
  <c r="L120" i="6" s="1"/>
  <c r="K121" i="3"/>
  <c r="O121" i="4" s="1"/>
  <c r="P120" i="5" s="1"/>
  <c r="L121" i="6" s="1"/>
  <c r="K122" i="3"/>
  <c r="O122" i="4" s="1"/>
  <c r="P121" i="5" s="1"/>
  <c r="L122" i="6" s="1"/>
  <c r="K123" i="3"/>
  <c r="O123" i="4" s="1"/>
  <c r="P122" i="5" s="1"/>
  <c r="L123" i="6" s="1"/>
  <c r="K124" i="3"/>
  <c r="O124" i="4" s="1"/>
  <c r="P123" i="5" s="1"/>
  <c r="L124" i="6" s="1"/>
  <c r="K125" i="3"/>
  <c r="O125" i="4" s="1"/>
  <c r="P124" i="5" s="1"/>
  <c r="L125" i="6" s="1"/>
  <c r="K126" i="3"/>
  <c r="O126" i="4" s="1"/>
  <c r="P125" i="5" s="1"/>
  <c r="L126" i="6" s="1"/>
  <c r="K127" i="3"/>
  <c r="O127" i="4" s="1"/>
  <c r="P126" i="5" s="1"/>
  <c r="L127" i="6" s="1"/>
  <c r="K128" i="3"/>
  <c r="O128" i="4" s="1"/>
  <c r="P127" i="5" s="1"/>
  <c r="L128" i="6" s="1"/>
  <c r="K129" i="3"/>
  <c r="O129" i="4" s="1"/>
  <c r="P128" i="5" s="1"/>
  <c r="L129" i="6" s="1"/>
  <c r="K130" i="3"/>
  <c r="O130" i="4" s="1"/>
  <c r="P129" i="5" s="1"/>
  <c r="L130" i="6" s="1"/>
  <c r="K131" i="3"/>
  <c r="O131" i="4" s="1"/>
  <c r="P130" i="5" s="1"/>
  <c r="L131" i="6" s="1"/>
  <c r="K132" i="3"/>
  <c r="O132" i="4" s="1"/>
  <c r="P131" i="5" s="1"/>
  <c r="L132" i="6" s="1"/>
  <c r="K133" i="3"/>
  <c r="O133" i="4" s="1"/>
  <c r="P132" i="5" s="1"/>
  <c r="L133" i="6" s="1"/>
  <c r="K134" i="3"/>
  <c r="O134" i="4" s="1"/>
  <c r="P133" i="5" s="1"/>
  <c r="L134" i="6" s="1"/>
  <c r="K135" i="3"/>
  <c r="O135" i="4" s="1"/>
  <c r="P134" i="5" s="1"/>
  <c r="L135" i="6" s="1"/>
  <c r="K136" i="3"/>
  <c r="O136" i="4" s="1"/>
  <c r="P135" i="5" s="1"/>
  <c r="L136" i="6" s="1"/>
  <c r="K137" i="3"/>
  <c r="O137" i="4" s="1"/>
  <c r="P136" i="5" s="1"/>
  <c r="L137" i="6" s="1"/>
  <c r="K138" i="3"/>
  <c r="O138" i="4" s="1"/>
  <c r="P137" i="5" s="1"/>
  <c r="L138" i="6" s="1"/>
  <c r="K117" i="3"/>
  <c r="O117" i="4" s="1"/>
  <c r="P116" i="5" s="1"/>
  <c r="L117" i="6" s="1"/>
  <c r="K107" i="3"/>
  <c r="O107" i="4" s="1"/>
  <c r="P106" i="5" s="1"/>
  <c r="L107" i="6" s="1"/>
  <c r="K108" i="3"/>
  <c r="O108" i="4" s="1"/>
  <c r="P107" i="5" s="1"/>
  <c r="L108" i="6" s="1"/>
  <c r="K109" i="3"/>
  <c r="O109" i="4" s="1"/>
  <c r="P108" i="5" s="1"/>
  <c r="L109" i="6" s="1"/>
  <c r="K110" i="3"/>
  <c r="O110" i="4" s="1"/>
  <c r="P109" i="5" s="1"/>
  <c r="L110" i="6" s="1"/>
  <c r="K111" i="3"/>
  <c r="O111" i="4" s="1"/>
  <c r="P110" i="5" s="1"/>
  <c r="L111" i="6" s="1"/>
  <c r="K112" i="3"/>
  <c r="O112" i="4" s="1"/>
  <c r="P111" i="5" s="1"/>
  <c r="L112" i="6" s="1"/>
  <c r="K113" i="3"/>
  <c r="O113" i="4" s="1"/>
  <c r="P112" i="5" s="1"/>
  <c r="L113" i="6" s="1"/>
  <c r="K114" i="3"/>
  <c r="O114" i="4" s="1"/>
  <c r="P113" i="5" s="1"/>
  <c r="L114" i="6" s="1"/>
  <c r="K106" i="3"/>
  <c r="O106" i="4" s="1"/>
  <c r="P105" i="5" s="1"/>
  <c r="L106" i="6" s="1"/>
  <c r="K103" i="3"/>
  <c r="O103" i="4" s="1"/>
  <c r="P102" i="5" s="1"/>
  <c r="L103" i="6" s="1"/>
  <c r="K81" i="3"/>
  <c r="O81" i="4" s="1"/>
  <c r="P80" i="5" s="1"/>
  <c r="L81" i="6" s="1"/>
  <c r="K82" i="3"/>
  <c r="O82" i="4" s="1"/>
  <c r="P81" i="5" s="1"/>
  <c r="L82" i="6" s="1"/>
  <c r="K83" i="3"/>
  <c r="O83" i="4" s="1"/>
  <c r="P82" i="5" s="1"/>
  <c r="L83" i="6" s="1"/>
  <c r="K84" i="3"/>
  <c r="O84" i="4" s="1"/>
  <c r="P83" i="5" s="1"/>
  <c r="L84" i="6" s="1"/>
  <c r="K85" i="3"/>
  <c r="O85" i="4" s="1"/>
  <c r="P84" i="5" s="1"/>
  <c r="L85" i="6" s="1"/>
  <c r="K86" i="3"/>
  <c r="O86" i="4" s="1"/>
  <c r="P85" i="5" s="1"/>
  <c r="L86" i="6" s="1"/>
  <c r="K87" i="3"/>
  <c r="O87" i="4" s="1"/>
  <c r="P86" i="5" s="1"/>
  <c r="L87" i="6" s="1"/>
  <c r="K93" i="3"/>
  <c r="O93" i="4" s="1"/>
  <c r="P92" i="5" s="1"/>
  <c r="L93" i="6" s="1"/>
  <c r="K94" i="3"/>
  <c r="O94" i="4" s="1"/>
  <c r="P93" i="5" s="1"/>
  <c r="L94" i="6" s="1"/>
  <c r="K95" i="3"/>
  <c r="O95" i="4" s="1"/>
  <c r="P94" i="5" s="1"/>
  <c r="L95" i="6" s="1"/>
  <c r="K96" i="3"/>
  <c r="O96" i="4" s="1"/>
  <c r="P95" i="5" s="1"/>
  <c r="L96" i="6" s="1"/>
  <c r="K97" i="3"/>
  <c r="O97" i="4" s="1"/>
  <c r="P96" i="5" s="1"/>
  <c r="L97" i="6" s="1"/>
  <c r="K98" i="3"/>
  <c r="O98" i="4" s="1"/>
  <c r="P97" i="5" s="1"/>
  <c r="L98" i="6" s="1"/>
  <c r="K99" i="3"/>
  <c r="O99" i="4" s="1"/>
  <c r="P98" i="5" s="1"/>
  <c r="L99" i="6" s="1"/>
  <c r="K100" i="3"/>
  <c r="O100" i="4" s="1"/>
  <c r="P99" i="5" s="1"/>
  <c r="L100" i="6" s="1"/>
  <c r="K80" i="3"/>
  <c r="O80" i="4" s="1"/>
  <c r="P79" i="5" s="1"/>
  <c r="L80" i="6" s="1"/>
  <c r="K77" i="3"/>
  <c r="O77" i="4" s="1"/>
  <c r="P76" i="5" s="1"/>
  <c r="L77" i="6" s="1"/>
  <c r="K76" i="3"/>
  <c r="O76" i="4" s="1"/>
  <c r="P75" i="5" s="1"/>
  <c r="L76" i="6" s="1"/>
  <c r="K75" i="3"/>
  <c r="O75" i="4" s="1"/>
  <c r="P74" i="5" s="1"/>
  <c r="L75" i="6" s="1"/>
  <c r="K74" i="3"/>
  <c r="O74" i="4" s="1"/>
  <c r="P73" i="5" s="1"/>
  <c r="L74" i="6" s="1"/>
  <c r="K73" i="3"/>
  <c r="O73" i="4" s="1"/>
  <c r="P72" i="5" s="1"/>
  <c r="L73" i="6" s="1"/>
  <c r="K72" i="3"/>
  <c r="O72" i="4" s="1"/>
  <c r="P71" i="5" s="1"/>
  <c r="L72" i="6" s="1"/>
  <c r="O71" i="4"/>
  <c r="P70" i="5" s="1"/>
  <c r="L71" i="6" s="1"/>
  <c r="K70" i="3"/>
  <c r="O70" i="4" s="1"/>
  <c r="P69" i="5" s="1"/>
  <c r="L70" i="6" s="1"/>
  <c r="K69" i="3"/>
  <c r="O69" i="4" s="1"/>
  <c r="P68" i="5" s="1"/>
  <c r="L69" i="6" s="1"/>
  <c r="K68" i="3"/>
  <c r="O68" i="4" s="1"/>
  <c r="P67" i="5" s="1"/>
  <c r="L68" i="6" s="1"/>
  <c r="K67" i="3"/>
  <c r="O67" i="4" s="1"/>
  <c r="P66" i="5" s="1"/>
  <c r="L67" i="6" s="1"/>
  <c r="K66" i="3"/>
  <c r="O66" i="4" s="1"/>
  <c r="P65" i="5" s="1"/>
  <c r="L66" i="6" s="1"/>
  <c r="K65" i="3"/>
  <c r="O65" i="4" s="1"/>
  <c r="P64" i="5" s="1"/>
  <c r="L65" i="6" s="1"/>
  <c r="K64" i="3"/>
  <c r="O64" i="4" s="1"/>
  <c r="P63" i="5" s="1"/>
  <c r="L64" i="6" s="1"/>
  <c r="K63" i="3"/>
  <c r="O63" i="4" s="1"/>
  <c r="P62" i="5" s="1"/>
  <c r="L63" i="6" s="1"/>
  <c r="K62" i="3"/>
  <c r="O62" i="4" s="1"/>
  <c r="P61" i="5" s="1"/>
  <c r="L62" i="6" s="1"/>
  <c r="K61" i="3"/>
  <c r="O61" i="4" s="1"/>
  <c r="P60" i="5" s="1"/>
  <c r="L61" i="6" s="1"/>
  <c r="K60" i="3"/>
  <c r="O60" i="4" s="1"/>
  <c r="P59" i="5" s="1"/>
  <c r="L60" i="6" s="1"/>
  <c r="K59" i="3"/>
  <c r="O59" i="4" s="1"/>
  <c r="P58" i="5" s="1"/>
  <c r="L59" i="6" s="1"/>
  <c r="K58" i="3"/>
  <c r="O58" i="4" s="1"/>
  <c r="P57" i="5" s="1"/>
  <c r="L58" i="6" s="1"/>
  <c r="K57" i="3"/>
  <c r="O57" i="4" s="1"/>
  <c r="P56" i="5" s="1"/>
  <c r="L57" i="6" s="1"/>
  <c r="K56" i="3"/>
  <c r="O56" i="4" s="1"/>
  <c r="P55" i="5" s="1"/>
  <c r="L56" i="6" s="1"/>
  <c r="K55" i="3"/>
  <c r="O55" i="4" s="1"/>
  <c r="P54" i="5" s="1"/>
  <c r="L55" i="6" s="1"/>
  <c r="K52" i="3"/>
  <c r="O52" i="4" s="1"/>
  <c r="P51" i="5" s="1"/>
  <c r="L52" i="6" s="1"/>
  <c r="K51" i="3"/>
  <c r="O51" i="4" s="1"/>
  <c r="P50" i="5" s="1"/>
  <c r="L51" i="6" s="1"/>
  <c r="K50" i="3"/>
  <c r="O50" i="4" s="1"/>
  <c r="P49" i="5" s="1"/>
  <c r="L50" i="6" s="1"/>
  <c r="K49" i="3"/>
  <c r="O49" i="4" s="1"/>
  <c r="P48" i="5" s="1"/>
  <c r="L49" i="6" s="1"/>
  <c r="K48" i="3"/>
  <c r="O48" i="4" s="1"/>
  <c r="P47" i="5" s="1"/>
  <c r="L48" i="6" s="1"/>
  <c r="K47" i="3"/>
  <c r="O47" i="4" s="1"/>
  <c r="P46" i="5" s="1"/>
  <c r="L47" i="6" s="1"/>
  <c r="K46" i="3"/>
  <c r="O46" i="4" s="1"/>
  <c r="P45" i="5" s="1"/>
  <c r="L46" i="6" s="1"/>
  <c r="K42" i="3"/>
  <c r="O42" i="4" s="1"/>
  <c r="P41" i="5" s="1"/>
  <c r="L42" i="6" s="1"/>
  <c r="K43" i="3"/>
  <c r="O43" i="4" s="1"/>
  <c r="P42" i="5" s="1"/>
  <c r="L43" i="6" s="1"/>
  <c r="K41" i="3"/>
  <c r="O41" i="4" s="1"/>
  <c r="P40" i="5" s="1"/>
  <c r="L41" i="6" s="1"/>
  <c r="K40" i="3"/>
  <c r="O40" i="4" s="1"/>
  <c r="P39" i="5" s="1"/>
  <c r="L40" i="6" s="1"/>
  <c r="K38" i="3"/>
  <c r="K36" i="3"/>
  <c r="O36" i="4" s="1"/>
  <c r="P35" i="5" s="1"/>
  <c r="L36" i="6" s="1"/>
  <c r="K33" i="3"/>
  <c r="O33" i="4" s="1"/>
  <c r="P32" i="5" s="1"/>
  <c r="L33" i="6" s="1"/>
  <c r="K29" i="3"/>
  <c r="O29" i="4" s="1"/>
  <c r="P28" i="5" s="1"/>
  <c r="L29" i="6" s="1"/>
  <c r="K30" i="3"/>
  <c r="O30" i="4" s="1"/>
  <c r="P29" i="5" s="1"/>
  <c r="L30" i="6" s="1"/>
  <c r="K31" i="3"/>
  <c r="O31" i="4" s="1"/>
  <c r="P30" i="5" s="1"/>
  <c r="L31" i="6" s="1"/>
  <c r="K28" i="3"/>
  <c r="O28" i="4" s="1"/>
  <c r="P27" i="5" s="1"/>
  <c r="L28" i="6" s="1"/>
  <c r="K27" i="3"/>
  <c r="O27" i="4" s="1"/>
  <c r="P26" i="5" s="1"/>
  <c r="L27" i="6" s="1"/>
  <c r="K26" i="3"/>
  <c r="O26" i="4" s="1"/>
  <c r="P25" i="5" s="1"/>
  <c r="L26" i="6" s="1"/>
  <c r="K23" i="3"/>
  <c r="O23" i="4" s="1"/>
  <c r="P22" i="5" s="1"/>
  <c r="L23" i="6" s="1"/>
  <c r="K22" i="3"/>
  <c r="O22" i="4" s="1"/>
  <c r="P21" i="5" s="1"/>
  <c r="L22" i="6" s="1"/>
  <c r="K21" i="3"/>
  <c r="O21" i="4" s="1"/>
  <c r="P20" i="5" s="1"/>
  <c r="L21" i="6" s="1"/>
  <c r="K19" i="3"/>
  <c r="K17" i="3"/>
  <c r="K18" i="3" s="1"/>
  <c r="O18" i="4" s="1"/>
  <c r="P17" i="5" s="1"/>
  <c r="L18" i="6" s="1"/>
  <c r="K15" i="3"/>
  <c r="O15" i="4" s="1"/>
  <c r="P14" i="5" s="1"/>
  <c r="L15" i="6" s="1"/>
  <c r="K13" i="3"/>
  <c r="O13" i="4" s="1"/>
  <c r="P12" i="5" s="1"/>
  <c r="L13" i="6" s="1"/>
  <c r="K11" i="3"/>
  <c r="K9" i="3"/>
  <c r="K10" i="3" s="1"/>
  <c r="O10" i="4" s="1"/>
  <c r="P9" i="5" s="1"/>
  <c r="L10" i="6" s="1"/>
  <c r="K8" i="3"/>
  <c r="O8" i="4" s="1"/>
  <c r="P7" i="5" s="1"/>
  <c r="L8" i="6" s="1"/>
  <c r="K6" i="3"/>
  <c r="O6" i="4" s="1"/>
  <c r="P5" i="5" s="1"/>
  <c r="L6" i="6" s="1"/>
  <c r="K24" i="3" l="1"/>
  <c r="O24" i="4" s="1"/>
  <c r="P23" i="5" s="1"/>
  <c r="L24" i="6" s="1"/>
  <c r="D37" i="7"/>
  <c r="O17" i="4"/>
  <c r="P16" i="5" s="1"/>
  <c r="L17" i="6" s="1"/>
  <c r="D38" i="7"/>
  <c r="D71" i="7"/>
  <c r="K14" i="3"/>
  <c r="O14" i="4" s="1"/>
  <c r="P13" i="5" s="1"/>
  <c r="L14" i="6" s="1"/>
  <c r="K34" i="3"/>
  <c r="O34" i="4" s="1"/>
  <c r="P33" i="5" s="1"/>
  <c r="L34" i="6" s="1"/>
  <c r="O9" i="4"/>
  <c r="P8" i="5" s="1"/>
  <c r="L9" i="6" s="1"/>
  <c r="K35" i="3"/>
  <c r="O35" i="4" s="1"/>
  <c r="P34" i="5" s="1"/>
  <c r="L35" i="6" s="1"/>
  <c r="K12" i="3"/>
  <c r="O12" i="4" s="1"/>
  <c r="P11" i="5" s="1"/>
  <c r="L12" i="6" s="1"/>
  <c r="O11" i="4"/>
  <c r="P10" i="5" s="1"/>
  <c r="L11" i="6" s="1"/>
  <c r="K20" i="3"/>
  <c r="O20" i="4" s="1"/>
  <c r="P19" i="5" s="1"/>
  <c r="L20" i="6" s="1"/>
  <c r="O19" i="4"/>
  <c r="P18" i="5" s="1"/>
  <c r="L19" i="6" s="1"/>
  <c r="K39" i="3"/>
  <c r="O39" i="4" s="1"/>
  <c r="P38" i="5" s="1"/>
  <c r="L39" i="6" s="1"/>
  <c r="O38" i="4"/>
  <c r="P37" i="5" s="1"/>
  <c r="L38" i="6" s="1"/>
  <c r="K7" i="3"/>
  <c r="O7" i="4" s="1"/>
  <c r="P6" i="5" s="1"/>
  <c r="L7" i="6" s="1"/>
  <c r="K16" i="3"/>
  <c r="O16" i="4" s="1"/>
  <c r="P15" i="5" s="1"/>
  <c r="L16" i="6" s="1"/>
  <c r="K25" i="3"/>
  <c r="O25" i="4" s="1"/>
  <c r="P24" i="5" s="1"/>
  <c r="L25" i="6" s="1"/>
  <c r="K37" i="3"/>
  <c r="O37" i="4" s="1"/>
  <c r="P36" i="5" s="1"/>
  <c r="L37" i="6" s="1"/>
  <c r="K32" i="3"/>
  <c r="O32" i="4" s="1"/>
  <c r="P31" i="5" s="1"/>
  <c r="L32" i="6" s="1"/>
  <c r="B15" i="8"/>
  <c r="B38" i="8"/>
  <c r="C56" i="6" l="1"/>
  <c r="B40" i="7" s="1"/>
  <c r="C27" i="6"/>
  <c r="R163" i="4" l="1"/>
  <c r="R160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41" i="4"/>
  <c r="R118" i="4"/>
  <c r="R119" i="4"/>
  <c r="R120" i="4"/>
  <c r="R122" i="4"/>
  <c r="R123" i="4"/>
  <c r="R125" i="4"/>
  <c r="R126" i="4"/>
  <c r="R128" i="4"/>
  <c r="R129" i="4"/>
  <c r="R131" i="4"/>
  <c r="R132" i="4"/>
  <c r="R134" i="4"/>
  <c r="R135" i="4"/>
  <c r="R136" i="4"/>
  <c r="R137" i="4"/>
  <c r="R138" i="4"/>
  <c r="R117" i="4"/>
  <c r="R107" i="4"/>
  <c r="R108" i="4"/>
  <c r="R109" i="4"/>
  <c r="R110" i="4"/>
  <c r="R111" i="4"/>
  <c r="R112" i="4"/>
  <c r="R113" i="4"/>
  <c r="R114" i="4"/>
  <c r="R106" i="4"/>
  <c r="R103" i="4"/>
  <c r="R81" i="4"/>
  <c r="R82" i="4"/>
  <c r="R83" i="4"/>
  <c r="R84" i="4"/>
  <c r="R85" i="4"/>
  <c r="R86" i="4"/>
  <c r="R87" i="4"/>
  <c r="R89" i="4"/>
  <c r="R93" i="4"/>
  <c r="R94" i="4"/>
  <c r="R95" i="4"/>
  <c r="R96" i="4"/>
  <c r="R97" i="4"/>
  <c r="R98" i="4"/>
  <c r="R99" i="4"/>
  <c r="R100" i="4"/>
  <c r="R80" i="4"/>
  <c r="R58" i="4"/>
  <c r="R59" i="4"/>
  <c r="R61" i="4"/>
  <c r="R62" i="4"/>
  <c r="R63" i="4"/>
  <c r="R64" i="4"/>
  <c r="R65" i="4"/>
  <c r="R66" i="4"/>
  <c r="R67" i="4"/>
  <c r="R68" i="4"/>
  <c r="R69" i="4"/>
  <c r="R70" i="4"/>
  <c r="R72" i="4"/>
  <c r="R73" i="4"/>
  <c r="R74" i="4"/>
  <c r="R75" i="4"/>
  <c r="R76" i="4"/>
  <c r="R77" i="4"/>
  <c r="R47" i="4"/>
  <c r="R48" i="4"/>
  <c r="R49" i="4"/>
  <c r="R50" i="4"/>
  <c r="R51" i="4"/>
  <c r="R52" i="4"/>
  <c r="R55" i="4"/>
  <c r="R57" i="4"/>
  <c r="R46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23" i="4"/>
  <c r="R24" i="4"/>
  <c r="R25" i="4"/>
  <c r="R26" i="4"/>
  <c r="R28" i="4"/>
  <c r="C56" i="4"/>
  <c r="C55" i="5" s="1"/>
  <c r="C27" i="4"/>
  <c r="C26" i="5" s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6" i="4"/>
  <c r="B164" i="2" l="1"/>
  <c r="B125" i="2"/>
  <c r="R53" i="2"/>
  <c r="B53" i="2"/>
  <c r="B65" i="2"/>
  <c r="B70" i="2"/>
  <c r="B81" i="2"/>
  <c r="B87" i="2"/>
  <c r="R95" i="2"/>
  <c r="B95" i="2"/>
  <c r="B103" i="2"/>
  <c r="AA103" i="2" s="1"/>
  <c r="B51" i="2"/>
  <c r="O40" i="3" l="1"/>
  <c r="O38" i="3"/>
  <c r="O36" i="3"/>
  <c r="O33" i="3"/>
  <c r="O31" i="3"/>
  <c r="O30" i="3"/>
  <c r="O29" i="3"/>
  <c r="O28" i="3"/>
  <c r="O26" i="3"/>
  <c r="O23" i="3"/>
  <c r="O19" i="3"/>
  <c r="O17" i="3"/>
  <c r="O15" i="3"/>
  <c r="O13" i="3"/>
  <c r="O11" i="3"/>
  <c r="O9" i="3"/>
  <c r="O8" i="3"/>
  <c r="O6" i="3"/>
  <c r="O133" i="3" l="1"/>
  <c r="S133" i="4" s="1"/>
  <c r="O130" i="3"/>
  <c r="S130" i="4" s="1"/>
  <c r="O127" i="3"/>
  <c r="S127" i="4" s="1"/>
  <c r="O124" i="3"/>
  <c r="S124" i="4" s="1"/>
  <c r="O121" i="3"/>
  <c r="S121" i="4" s="1"/>
  <c r="O95" i="3"/>
  <c r="S95" i="4" s="1"/>
  <c r="O96" i="3"/>
  <c r="S96" i="4" s="1"/>
  <c r="O97" i="3"/>
  <c r="S97" i="4" s="1"/>
  <c r="O98" i="3"/>
  <c r="S98" i="4" s="1"/>
  <c r="O99" i="3"/>
  <c r="S99" i="4" s="1"/>
  <c r="O100" i="3"/>
  <c r="S100" i="4" s="1"/>
  <c r="O94" i="3"/>
  <c r="S94" i="4" s="1"/>
  <c r="O91" i="3"/>
  <c r="S91" i="4" s="1"/>
  <c r="O92" i="3"/>
  <c r="S92" i="4" s="1"/>
  <c r="O90" i="3"/>
  <c r="S90" i="4" s="1"/>
  <c r="O88" i="3"/>
  <c r="S88" i="4" s="1"/>
  <c r="O75" i="3"/>
  <c r="S75" i="4" s="1"/>
  <c r="O76" i="3"/>
  <c r="S76" i="4" s="1"/>
  <c r="O77" i="3"/>
  <c r="S77" i="4" s="1"/>
  <c r="O74" i="3"/>
  <c r="S74" i="4" s="1"/>
  <c r="O54" i="3"/>
  <c r="S54" i="4" s="1"/>
  <c r="O53" i="3"/>
  <c r="S53" i="4" s="1"/>
  <c r="O42" i="3"/>
  <c r="S42" i="4" s="1"/>
  <c r="O43" i="3"/>
  <c r="S43" i="4" s="1"/>
  <c r="O41" i="3"/>
  <c r="S41" i="4" s="1"/>
  <c r="Q163" i="4"/>
  <c r="Q160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41" i="4"/>
  <c r="Q118" i="4"/>
  <c r="Q119" i="4"/>
  <c r="Q120" i="4"/>
  <c r="Q122" i="4"/>
  <c r="Q123" i="4"/>
  <c r="Q125" i="4"/>
  <c r="Q126" i="4"/>
  <c r="Q128" i="4"/>
  <c r="Q129" i="4"/>
  <c r="Q131" i="4"/>
  <c r="Q132" i="4"/>
  <c r="Q134" i="4"/>
  <c r="Q135" i="4"/>
  <c r="Q136" i="4"/>
  <c r="Q137" i="4"/>
  <c r="Q138" i="4"/>
  <c r="Q117" i="4"/>
  <c r="Q107" i="4"/>
  <c r="Q108" i="4"/>
  <c r="Q109" i="4"/>
  <c r="Q110" i="4"/>
  <c r="Q111" i="4"/>
  <c r="Q112" i="4"/>
  <c r="Q113" i="4"/>
  <c r="Q114" i="4"/>
  <c r="Q106" i="4"/>
  <c r="Q103" i="4"/>
  <c r="Q81" i="4"/>
  <c r="Q82" i="4"/>
  <c r="Q83" i="4"/>
  <c r="Q84" i="4"/>
  <c r="Q85" i="4"/>
  <c r="Q86" i="4"/>
  <c r="Q87" i="4"/>
  <c r="Q89" i="4"/>
  <c r="Q93" i="4"/>
  <c r="Q80" i="4"/>
  <c r="Q47" i="4"/>
  <c r="Q48" i="4"/>
  <c r="Q49" i="4"/>
  <c r="Q51" i="4"/>
  <c r="Q52" i="4"/>
  <c r="Q55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4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3" i="4"/>
  <c r="Q24" i="4"/>
  <c r="Q25" i="4"/>
  <c r="Q26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6" i="4"/>
  <c r="F160" i="3" l="1"/>
  <c r="C9" i="3"/>
  <c r="E93" i="3" l="1"/>
  <c r="F93" i="3" s="1"/>
  <c r="F87" i="3"/>
  <c r="F81" i="3"/>
  <c r="F82" i="3"/>
  <c r="F83" i="3"/>
  <c r="F84" i="3"/>
  <c r="F85" i="3"/>
  <c r="F86" i="3"/>
  <c r="F88" i="3"/>
  <c r="F90" i="3"/>
  <c r="F91" i="3"/>
  <c r="F92" i="3"/>
  <c r="F95" i="3"/>
  <c r="F96" i="3"/>
  <c r="F97" i="3"/>
  <c r="F98" i="3"/>
  <c r="F99" i="3"/>
  <c r="F100" i="3"/>
  <c r="F80" i="3"/>
  <c r="F142" i="3"/>
  <c r="F143" i="3"/>
  <c r="F155" i="3"/>
  <c r="F156" i="3"/>
  <c r="F157" i="3"/>
  <c r="F141" i="3"/>
  <c r="E153" i="3"/>
  <c r="F153" i="3" s="1"/>
  <c r="E151" i="3"/>
  <c r="F151" i="3" s="1"/>
  <c r="E149" i="3"/>
  <c r="F149" i="3" s="1"/>
  <c r="E147" i="3"/>
  <c r="F147" i="3" s="1"/>
  <c r="E148" i="3"/>
  <c r="F148" i="3" s="1"/>
  <c r="E154" i="3"/>
  <c r="F154" i="3" s="1"/>
  <c r="F152" i="3"/>
  <c r="E150" i="3"/>
  <c r="F150" i="3" s="1"/>
  <c r="E146" i="3"/>
  <c r="F146" i="3" s="1"/>
  <c r="E145" i="3"/>
  <c r="F145" i="3" s="1"/>
  <c r="E144" i="3"/>
  <c r="F144" i="3" s="1"/>
  <c r="E129" i="3"/>
  <c r="E128" i="3"/>
  <c r="E126" i="3"/>
  <c r="E125" i="3"/>
  <c r="E132" i="3"/>
  <c r="E131" i="3"/>
  <c r="E89" i="3" l="1"/>
  <c r="F89" i="3" s="1"/>
  <c r="C8" i="3" l="1"/>
  <c r="C8" i="4" s="1"/>
  <c r="C13" i="3"/>
  <c r="C13" i="4" s="1"/>
  <c r="C15" i="3"/>
  <c r="C15" i="4" s="1"/>
  <c r="C17" i="3"/>
  <c r="C17" i="4" s="1"/>
  <c r="C19" i="3"/>
  <c r="C19" i="4" s="1"/>
  <c r="C23" i="3"/>
  <c r="C23" i="4" s="1"/>
  <c r="C26" i="3"/>
  <c r="C26" i="4" s="1"/>
  <c r="C28" i="3"/>
  <c r="C28" i="4" s="1"/>
  <c r="C29" i="3"/>
  <c r="C29" i="4" s="1"/>
  <c r="C30" i="3"/>
  <c r="C30" i="4" s="1"/>
  <c r="C31" i="3"/>
  <c r="C31" i="4" s="1"/>
  <c r="C33" i="3"/>
  <c r="C33" i="4" s="1"/>
  <c r="C36" i="3"/>
  <c r="C36" i="4" s="1"/>
  <c r="C38" i="3"/>
  <c r="C38" i="4" s="1"/>
  <c r="C40" i="3"/>
  <c r="C40" i="4" s="1"/>
  <c r="C41" i="3"/>
  <c r="C41" i="6" s="1"/>
  <c r="B26" i="7" s="1"/>
  <c r="C42" i="3"/>
  <c r="C43" i="3"/>
  <c r="C9" i="4"/>
  <c r="C10" i="4"/>
  <c r="C14" i="4"/>
  <c r="C18" i="4"/>
  <c r="C21" i="4"/>
  <c r="C22" i="4"/>
  <c r="C25" i="4"/>
  <c r="C34" i="4"/>
  <c r="C35" i="4"/>
  <c r="C39" i="4"/>
  <c r="D94" i="4"/>
  <c r="E94" i="4"/>
  <c r="D95" i="4"/>
  <c r="E95" i="4"/>
  <c r="D96" i="4"/>
  <c r="E96" i="4"/>
  <c r="D97" i="4"/>
  <c r="E97" i="4"/>
  <c r="D98" i="4"/>
  <c r="E98" i="4"/>
  <c r="D99" i="4"/>
  <c r="E99" i="4"/>
  <c r="D100" i="4"/>
  <c r="E100" i="4"/>
  <c r="D74" i="4"/>
  <c r="E74" i="4"/>
  <c r="D75" i="4"/>
  <c r="E75" i="4"/>
  <c r="D76" i="4"/>
  <c r="E76" i="4"/>
  <c r="D77" i="4"/>
  <c r="E77" i="4"/>
  <c r="D41" i="4"/>
  <c r="E41" i="4"/>
  <c r="D42" i="4"/>
  <c r="E42" i="4"/>
  <c r="D43" i="4"/>
  <c r="E43" i="4"/>
  <c r="C7" i="4"/>
  <c r="C11" i="4"/>
  <c r="C12" i="4"/>
  <c r="C16" i="4"/>
  <c r="C20" i="4"/>
  <c r="C24" i="4"/>
  <c r="C32" i="4"/>
  <c r="C37" i="4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41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17" i="3"/>
  <c r="C118" i="3"/>
  <c r="C119" i="3"/>
  <c r="C120" i="3"/>
  <c r="C121" i="3"/>
  <c r="C122" i="3"/>
  <c r="C122" i="6" s="1"/>
  <c r="C123" i="3"/>
  <c r="C123" i="6" s="1"/>
  <c r="C124" i="3"/>
  <c r="C124" i="6" s="1"/>
  <c r="C125" i="3"/>
  <c r="C125" i="6" s="1"/>
  <c r="C126" i="3"/>
  <c r="C126" i="6" s="1"/>
  <c r="C127" i="3"/>
  <c r="C127" i="6" s="1"/>
  <c r="C128" i="3"/>
  <c r="C128" i="6" s="1"/>
  <c r="C129" i="3"/>
  <c r="C129" i="6" s="1"/>
  <c r="C130" i="3"/>
  <c r="C130" i="6" s="1"/>
  <c r="C131" i="3"/>
  <c r="C131" i="6" s="1"/>
  <c r="C132" i="3"/>
  <c r="C132" i="6" s="1"/>
  <c r="C133" i="3"/>
  <c r="C133" i="6" s="1"/>
  <c r="C134" i="3"/>
  <c r="C135" i="3"/>
  <c r="C136" i="3"/>
  <c r="C137" i="3"/>
  <c r="C138" i="3"/>
  <c r="C117" i="3"/>
  <c r="C107" i="3"/>
  <c r="C108" i="3"/>
  <c r="C109" i="3"/>
  <c r="C110" i="3"/>
  <c r="C111" i="3"/>
  <c r="C112" i="3"/>
  <c r="C113" i="3"/>
  <c r="C114" i="3"/>
  <c r="C106" i="3"/>
  <c r="C103" i="3"/>
  <c r="D44" i="3"/>
  <c r="E44" i="3"/>
  <c r="D78" i="3"/>
  <c r="E78" i="3"/>
  <c r="D101" i="3"/>
  <c r="E101" i="3"/>
  <c r="F101" i="3"/>
  <c r="C94" i="3"/>
  <c r="C95" i="3"/>
  <c r="C96" i="3"/>
  <c r="C97" i="3"/>
  <c r="C98" i="3"/>
  <c r="C99" i="3"/>
  <c r="C10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80" i="3"/>
  <c r="F41" i="3"/>
  <c r="F42" i="3"/>
  <c r="F43" i="3"/>
  <c r="F74" i="3"/>
  <c r="F75" i="3"/>
  <c r="F76" i="3"/>
  <c r="F77" i="3"/>
  <c r="C74" i="3"/>
  <c r="C75" i="3"/>
  <c r="C76" i="3"/>
  <c r="C77" i="3"/>
  <c r="C57" i="3"/>
  <c r="C57" i="4" s="1"/>
  <c r="C58" i="3"/>
  <c r="C58" i="4" s="1"/>
  <c r="C59" i="3"/>
  <c r="C59" i="4" s="1"/>
  <c r="C60" i="3"/>
  <c r="C60" i="4" s="1"/>
  <c r="C61" i="3"/>
  <c r="C61" i="4" s="1"/>
  <c r="C62" i="3"/>
  <c r="C62" i="4" s="1"/>
  <c r="C63" i="3"/>
  <c r="C63" i="4" s="1"/>
  <c r="C64" i="3"/>
  <c r="C64" i="4" s="1"/>
  <c r="C65" i="3"/>
  <c r="C65" i="4" s="1"/>
  <c r="C66" i="3"/>
  <c r="C66" i="4" s="1"/>
  <c r="C67" i="3"/>
  <c r="C67" i="4" s="1"/>
  <c r="C68" i="3"/>
  <c r="C68" i="4" s="1"/>
  <c r="C69" i="3"/>
  <c r="C69" i="4" s="1"/>
  <c r="C70" i="3"/>
  <c r="C70" i="4" s="1"/>
  <c r="C71" i="3"/>
  <c r="C71" i="4" s="1"/>
  <c r="C72" i="3"/>
  <c r="C72" i="4" s="1"/>
  <c r="C73" i="3"/>
  <c r="C73" i="4" s="1"/>
  <c r="C48" i="3"/>
  <c r="C48" i="4" s="1"/>
  <c r="C49" i="3"/>
  <c r="C49" i="4" s="1"/>
  <c r="C50" i="3"/>
  <c r="C50" i="4" s="1"/>
  <c r="C51" i="3"/>
  <c r="C51" i="4" s="1"/>
  <c r="C52" i="3"/>
  <c r="C52" i="4" s="1"/>
  <c r="C53" i="3"/>
  <c r="C53" i="4" s="1"/>
  <c r="C54" i="3"/>
  <c r="C54" i="4" s="1"/>
  <c r="C55" i="3"/>
  <c r="C55" i="4" s="1"/>
  <c r="C47" i="3"/>
  <c r="C47" i="4" s="1"/>
  <c r="C46" i="3"/>
  <c r="C46" i="4" s="1"/>
  <c r="C6" i="3"/>
  <c r="C6" i="4" s="1"/>
  <c r="C41" i="4" l="1"/>
  <c r="C40" i="5" s="1"/>
  <c r="C96" i="4"/>
  <c r="C95" i="5" s="1"/>
  <c r="C96" i="6"/>
  <c r="B79" i="7" s="1"/>
  <c r="C77" i="4"/>
  <c r="C76" i="5" s="1"/>
  <c r="C77" i="6"/>
  <c r="B61" i="7" s="1"/>
  <c r="C97" i="4"/>
  <c r="C96" i="5" s="1"/>
  <c r="C97" i="6"/>
  <c r="B80" i="7" s="1"/>
  <c r="C76" i="4"/>
  <c r="C75" i="5" s="1"/>
  <c r="C76" i="6"/>
  <c r="B60" i="7" s="1"/>
  <c r="C100" i="4"/>
  <c r="C99" i="5" s="1"/>
  <c r="C100" i="6"/>
  <c r="B83" i="7" s="1"/>
  <c r="C43" i="4"/>
  <c r="C42" i="5" s="1"/>
  <c r="C43" i="6"/>
  <c r="B28" i="7" s="1"/>
  <c r="C75" i="4"/>
  <c r="C74" i="5" s="1"/>
  <c r="C75" i="6"/>
  <c r="B59" i="7" s="1"/>
  <c r="C99" i="4"/>
  <c r="C98" i="5" s="1"/>
  <c r="C99" i="6"/>
  <c r="B82" i="7" s="1"/>
  <c r="C95" i="4"/>
  <c r="C94" i="5" s="1"/>
  <c r="C95" i="6"/>
  <c r="B78" i="7" s="1"/>
  <c r="C42" i="4"/>
  <c r="C41" i="5" s="1"/>
  <c r="C42" i="6"/>
  <c r="B27" i="7" s="1"/>
  <c r="C74" i="4"/>
  <c r="C73" i="5" s="1"/>
  <c r="C74" i="6"/>
  <c r="B58" i="7" s="1"/>
  <c r="C98" i="4"/>
  <c r="C97" i="5" s="1"/>
  <c r="C98" i="6"/>
  <c r="B81" i="7" s="1"/>
  <c r="C94" i="4"/>
  <c r="C93" i="5" s="1"/>
  <c r="C94" i="6"/>
  <c r="B77" i="7" s="1"/>
  <c r="F98" i="4"/>
  <c r="L97" i="5" s="1"/>
  <c r="F74" i="4"/>
  <c r="F99" i="4"/>
  <c r="I99" i="4" s="1"/>
  <c r="F97" i="4"/>
  <c r="I97" i="4" s="1"/>
  <c r="W97" i="4" s="1"/>
  <c r="F77" i="4"/>
  <c r="I77" i="4" s="1"/>
  <c r="W77" i="4" s="1"/>
  <c r="F96" i="4"/>
  <c r="I96" i="4" s="1"/>
  <c r="W96" i="4" s="1"/>
  <c r="F94" i="4"/>
  <c r="I94" i="4" s="1"/>
  <c r="F100" i="4"/>
  <c r="I100" i="4" s="1"/>
  <c r="W100" i="4" s="1"/>
  <c r="F95" i="4"/>
  <c r="I95" i="4" s="1"/>
  <c r="F41" i="4"/>
  <c r="I41" i="4" s="1"/>
  <c r="W41" i="4" s="1"/>
  <c r="F76" i="4"/>
  <c r="I76" i="4" s="1"/>
  <c r="W76" i="4" s="1"/>
  <c r="F75" i="4"/>
  <c r="I75" i="4" s="1"/>
  <c r="W75" i="4" s="1"/>
  <c r="F43" i="4"/>
  <c r="I43" i="4" s="1"/>
  <c r="W43" i="4" s="1"/>
  <c r="F42" i="4"/>
  <c r="I42" i="4" s="1"/>
  <c r="W42" i="4" s="1"/>
  <c r="W166" i="4" l="1"/>
  <c r="I74" i="4"/>
  <c r="M73" i="5" s="1"/>
  <c r="I98" i="4"/>
  <c r="M97" i="5" s="1"/>
  <c r="L42" i="5"/>
  <c r="M42" i="5"/>
  <c r="L41" i="5"/>
  <c r="M41" i="5"/>
  <c r="L40" i="5"/>
  <c r="M40" i="5"/>
  <c r="L73" i="5"/>
  <c r="M96" i="5"/>
  <c r="L96" i="5"/>
  <c r="M98" i="5"/>
  <c r="L98" i="5"/>
  <c r="M76" i="5"/>
  <c r="L76" i="5"/>
  <c r="M99" i="5"/>
  <c r="L99" i="5"/>
  <c r="M74" i="5"/>
  <c r="L74" i="5"/>
  <c r="M95" i="5"/>
  <c r="L95" i="5"/>
  <c r="M75" i="5"/>
  <c r="L75" i="5"/>
  <c r="M94" i="5"/>
  <c r="L94" i="5"/>
  <c r="M93" i="5"/>
  <c r="L93" i="5"/>
  <c r="M132" i="5"/>
  <c r="M129" i="5"/>
  <c r="M126" i="5"/>
  <c r="M123" i="5"/>
  <c r="M120" i="5"/>
  <c r="E133" i="4"/>
  <c r="D133" i="4"/>
  <c r="E130" i="4"/>
  <c r="D130" i="4"/>
  <c r="E127" i="4"/>
  <c r="D127" i="4"/>
  <c r="E124" i="4"/>
  <c r="D124" i="4"/>
  <c r="E121" i="4"/>
  <c r="D121" i="4"/>
  <c r="C133" i="4"/>
  <c r="C132" i="5" s="1"/>
  <c r="B133" i="4"/>
  <c r="C130" i="4"/>
  <c r="C129" i="5" s="1"/>
  <c r="B130" i="4"/>
  <c r="C127" i="4"/>
  <c r="C126" i="5" s="1"/>
  <c r="B127" i="4"/>
  <c r="C124" i="4"/>
  <c r="C123" i="5" s="1"/>
  <c r="B124" i="4"/>
  <c r="C121" i="4"/>
  <c r="C120" i="5" s="1"/>
  <c r="C121" i="6" s="1"/>
  <c r="B121" i="4"/>
  <c r="E46" i="4"/>
  <c r="D46" i="4"/>
  <c r="D7" i="4"/>
  <c r="E7" i="4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I26" i="4" s="1"/>
  <c r="E26" i="4"/>
  <c r="V26" i="4" s="1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E36" i="4"/>
  <c r="D37" i="4"/>
  <c r="E37" i="4"/>
  <c r="D38" i="4"/>
  <c r="E38" i="4"/>
  <c r="D39" i="4"/>
  <c r="E39" i="4"/>
  <c r="D40" i="4"/>
  <c r="E40" i="4"/>
  <c r="E6" i="4"/>
  <c r="D6" i="4"/>
  <c r="H97" i="5" l="1"/>
  <c r="D97" i="5"/>
  <c r="F97" i="5"/>
  <c r="J97" i="5"/>
  <c r="D73" i="5"/>
  <c r="J73" i="5"/>
  <c r="H73" i="5"/>
  <c r="F73" i="5"/>
  <c r="H40" i="5"/>
  <c r="J40" i="5"/>
  <c r="F40" i="5"/>
  <c r="D40" i="5"/>
  <c r="D42" i="5"/>
  <c r="F42" i="5"/>
  <c r="J42" i="5"/>
  <c r="H42" i="5"/>
  <c r="F41" i="5"/>
  <c r="D41" i="5"/>
  <c r="J41" i="5"/>
  <c r="H41" i="5"/>
  <c r="J98" i="5"/>
  <c r="F98" i="5"/>
  <c r="H98" i="5"/>
  <c r="D98" i="5"/>
  <c r="J96" i="5"/>
  <c r="D96" i="5"/>
  <c r="F96" i="5"/>
  <c r="H96" i="5"/>
  <c r="J95" i="5"/>
  <c r="F95" i="5"/>
  <c r="D95" i="5"/>
  <c r="H95" i="5"/>
  <c r="J99" i="5"/>
  <c r="D99" i="5"/>
  <c r="F99" i="5"/>
  <c r="H99" i="5"/>
  <c r="F33" i="4"/>
  <c r="I33" i="4" s="1"/>
  <c r="F26" i="4"/>
  <c r="F22" i="4"/>
  <c r="I22" i="4" s="1"/>
  <c r="F18" i="4"/>
  <c r="I18" i="4" s="1"/>
  <c r="F10" i="4"/>
  <c r="I10" i="4" s="1"/>
  <c r="F8" i="4"/>
  <c r="I8" i="4" s="1"/>
  <c r="F35" i="4"/>
  <c r="I35" i="4" s="1"/>
  <c r="F31" i="4"/>
  <c r="I31" i="4" s="1"/>
  <c r="F29" i="4"/>
  <c r="I29" i="4" s="1"/>
  <c r="F24" i="4"/>
  <c r="I24" i="4" s="1"/>
  <c r="F20" i="4"/>
  <c r="I20" i="4" s="1"/>
  <c r="F16" i="4"/>
  <c r="I16" i="4" s="1"/>
  <c r="F12" i="4"/>
  <c r="I12" i="4" s="1"/>
  <c r="J75" i="5"/>
  <c r="F75" i="5"/>
  <c r="D75" i="5"/>
  <c r="H75" i="5"/>
  <c r="J74" i="5"/>
  <c r="D74" i="5"/>
  <c r="F74" i="5"/>
  <c r="H74" i="5"/>
  <c r="J76" i="5"/>
  <c r="H76" i="5"/>
  <c r="D76" i="5"/>
  <c r="F76" i="5"/>
  <c r="J94" i="5"/>
  <c r="D94" i="5"/>
  <c r="F94" i="5"/>
  <c r="H94" i="5"/>
  <c r="J93" i="5"/>
  <c r="H93" i="5"/>
  <c r="D93" i="5"/>
  <c r="F93" i="5"/>
  <c r="F14" i="4"/>
  <c r="I14" i="4" s="1"/>
  <c r="E44" i="4"/>
  <c r="F39" i="4"/>
  <c r="I39" i="4" s="1"/>
  <c r="F37" i="4"/>
  <c r="I37" i="4" s="1"/>
  <c r="D44" i="4"/>
  <c r="F40" i="4"/>
  <c r="I40" i="4" s="1"/>
  <c r="F34" i="4"/>
  <c r="I34" i="4" s="1"/>
  <c r="F30" i="4"/>
  <c r="I30" i="4" s="1"/>
  <c r="F28" i="4"/>
  <c r="I28" i="4" s="1"/>
  <c r="F23" i="4"/>
  <c r="I23" i="4" s="1"/>
  <c r="F19" i="4"/>
  <c r="I19" i="4" s="1"/>
  <c r="F15" i="4"/>
  <c r="I15" i="4" s="1"/>
  <c r="F13" i="4"/>
  <c r="I13" i="4" s="1"/>
  <c r="F9" i="4"/>
  <c r="I9" i="4" s="1"/>
  <c r="F38" i="4"/>
  <c r="I38" i="4" s="1"/>
  <c r="F36" i="4"/>
  <c r="I36" i="4" s="1"/>
  <c r="F32" i="4"/>
  <c r="I32" i="4" s="1"/>
  <c r="F25" i="4"/>
  <c r="I25" i="4" s="1"/>
  <c r="F21" i="4"/>
  <c r="I21" i="4" s="1"/>
  <c r="F17" i="4"/>
  <c r="I17" i="4" s="1"/>
  <c r="F11" i="4"/>
  <c r="I11" i="4" s="1"/>
  <c r="F7" i="4"/>
  <c r="I7" i="4" s="1"/>
  <c r="F124" i="4"/>
  <c r="N123" i="5" s="1"/>
  <c r="D123" i="5" s="1"/>
  <c r="F130" i="4"/>
  <c r="L129" i="5" s="1"/>
  <c r="F121" i="4"/>
  <c r="N120" i="5" s="1"/>
  <c r="D120" i="5" s="1"/>
  <c r="F127" i="4"/>
  <c r="F133" i="4"/>
  <c r="F6" i="4"/>
  <c r="I6" i="4" s="1"/>
  <c r="F114" i="3"/>
  <c r="F113" i="3"/>
  <c r="F112" i="3"/>
  <c r="F111" i="3"/>
  <c r="F110" i="3"/>
  <c r="F109" i="3"/>
  <c r="F108" i="3"/>
  <c r="F107" i="3"/>
  <c r="F106" i="3"/>
  <c r="F47" i="3"/>
  <c r="F48" i="3"/>
  <c r="F49" i="3"/>
  <c r="F50" i="3"/>
  <c r="F51" i="3"/>
  <c r="F52" i="3"/>
  <c r="F54" i="3"/>
  <c r="F55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4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3" i="3"/>
  <c r="F24" i="3"/>
  <c r="F25" i="3"/>
  <c r="F26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6" i="3"/>
  <c r="I44" i="4" l="1"/>
  <c r="D6" i="14" s="1"/>
  <c r="F78" i="3"/>
  <c r="F44" i="3"/>
  <c r="F44" i="4"/>
  <c r="B6" i="14" s="1"/>
  <c r="L123" i="5"/>
  <c r="N129" i="5"/>
  <c r="F129" i="5" s="1"/>
  <c r="L120" i="5"/>
  <c r="L132" i="5"/>
  <c r="N132" i="5"/>
  <c r="F132" i="5" s="1"/>
  <c r="N126" i="5"/>
  <c r="F126" i="5" s="1"/>
  <c r="L126" i="5"/>
  <c r="E6" i="14" l="1"/>
  <c r="A28" i="8"/>
  <c r="A29" i="8"/>
  <c r="A30" i="8"/>
  <c r="A31" i="8"/>
  <c r="A32" i="8"/>
  <c r="A33" i="8"/>
  <c r="A34" i="8"/>
  <c r="A35" i="8"/>
  <c r="A36" i="8"/>
  <c r="A37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4" i="8"/>
  <c r="A5" i="8"/>
  <c r="A6" i="8"/>
  <c r="A7" i="8"/>
  <c r="A8" i="8"/>
  <c r="A7" i="13" s="1"/>
  <c r="A9" i="8"/>
  <c r="A10" i="8"/>
  <c r="A11" i="8"/>
  <c r="A12" i="8"/>
  <c r="A13" i="8"/>
  <c r="A14" i="8"/>
  <c r="A16" i="8"/>
  <c r="A17" i="8"/>
  <c r="A18" i="8"/>
  <c r="A19" i="8"/>
  <c r="A20" i="8"/>
  <c r="A21" i="8"/>
  <c r="A22" i="8"/>
  <c r="A23" i="8"/>
  <c r="A11" i="13" s="1"/>
  <c r="A3" i="8"/>
  <c r="E101" i="6" l="1"/>
  <c r="G101" i="6"/>
  <c r="I101" i="6"/>
  <c r="E78" i="6"/>
  <c r="G78" i="6"/>
  <c r="I78" i="6"/>
  <c r="E44" i="6"/>
  <c r="G44" i="6"/>
  <c r="I44" i="6"/>
  <c r="E164" i="6" l="1"/>
  <c r="G164" i="6"/>
  <c r="I164" i="6"/>
  <c r="E161" i="6"/>
  <c r="G161" i="6"/>
  <c r="I161" i="6"/>
  <c r="J161" i="6"/>
  <c r="J158" i="6"/>
  <c r="J139" i="6"/>
  <c r="E115" i="6"/>
  <c r="G115" i="6"/>
  <c r="I115" i="6"/>
  <c r="E104" i="6"/>
  <c r="G104" i="6"/>
  <c r="I104" i="6"/>
  <c r="F163" i="4"/>
  <c r="E163" i="4"/>
  <c r="D163" i="4"/>
  <c r="E160" i="4"/>
  <c r="D160" i="4"/>
  <c r="E142" i="4"/>
  <c r="E143" i="4"/>
  <c r="E148" i="4"/>
  <c r="E151" i="4"/>
  <c r="E155" i="4"/>
  <c r="E156" i="4"/>
  <c r="E157" i="4"/>
  <c r="E141" i="4"/>
  <c r="D142" i="4"/>
  <c r="D143" i="4"/>
  <c r="F143" i="4" s="1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41" i="4"/>
  <c r="E118" i="4"/>
  <c r="E119" i="4"/>
  <c r="E120" i="4"/>
  <c r="E122" i="4"/>
  <c r="E123" i="4"/>
  <c r="E134" i="4"/>
  <c r="E135" i="4"/>
  <c r="E136" i="4"/>
  <c r="E137" i="4"/>
  <c r="E138" i="4"/>
  <c r="D118" i="4"/>
  <c r="D119" i="4"/>
  <c r="D120" i="4"/>
  <c r="D122" i="4"/>
  <c r="D123" i="4"/>
  <c r="D125" i="4"/>
  <c r="D126" i="4"/>
  <c r="D128" i="4"/>
  <c r="D129" i="4"/>
  <c r="D131" i="4"/>
  <c r="D134" i="4"/>
  <c r="D135" i="4"/>
  <c r="D138" i="4"/>
  <c r="E117" i="4"/>
  <c r="D117" i="4"/>
  <c r="E107" i="4"/>
  <c r="E108" i="4"/>
  <c r="E109" i="4"/>
  <c r="E110" i="4"/>
  <c r="E111" i="4"/>
  <c r="E112" i="4"/>
  <c r="E113" i="4"/>
  <c r="E114" i="4"/>
  <c r="D107" i="4"/>
  <c r="D108" i="4"/>
  <c r="F108" i="4" s="1"/>
  <c r="I108" i="4" s="1"/>
  <c r="D109" i="4"/>
  <c r="F109" i="4" s="1"/>
  <c r="I109" i="4" s="1"/>
  <c r="D110" i="4"/>
  <c r="D111" i="4"/>
  <c r="F111" i="4" s="1"/>
  <c r="I111" i="4" s="1"/>
  <c r="D112" i="4"/>
  <c r="F112" i="4" s="1"/>
  <c r="I112" i="4" s="1"/>
  <c r="D113" i="4"/>
  <c r="F113" i="4" s="1"/>
  <c r="I113" i="4" s="1"/>
  <c r="D114" i="4"/>
  <c r="F114" i="4" s="1"/>
  <c r="I114" i="4" s="1"/>
  <c r="E106" i="4"/>
  <c r="D106" i="4"/>
  <c r="E103" i="4"/>
  <c r="D103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80" i="4"/>
  <c r="E47" i="4"/>
  <c r="E48" i="4"/>
  <c r="E49" i="4"/>
  <c r="E50" i="4"/>
  <c r="E51" i="4"/>
  <c r="E52" i="4"/>
  <c r="E53" i="4"/>
  <c r="E54" i="4"/>
  <c r="E55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D47" i="4"/>
  <c r="D48" i="4"/>
  <c r="D49" i="4"/>
  <c r="D50" i="4"/>
  <c r="D51" i="4"/>
  <c r="D52" i="4"/>
  <c r="D53" i="4"/>
  <c r="D54" i="4"/>
  <c r="D55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C163" i="6"/>
  <c r="C160" i="6"/>
  <c r="B103" i="7" s="1"/>
  <c r="C142" i="6"/>
  <c r="B86" i="7" s="1"/>
  <c r="C143" i="6"/>
  <c r="B87" i="7" s="1"/>
  <c r="C144" i="6"/>
  <c r="B88" i="7" s="1"/>
  <c r="C145" i="6"/>
  <c r="B89" i="7" s="1"/>
  <c r="C146" i="6"/>
  <c r="B90" i="7" s="1"/>
  <c r="C147" i="6"/>
  <c r="B91" i="7" s="1"/>
  <c r="C148" i="6"/>
  <c r="B92" i="7" s="1"/>
  <c r="C149" i="6"/>
  <c r="B93" i="7" s="1"/>
  <c r="C150" i="6"/>
  <c r="B94" i="7" s="1"/>
  <c r="C151" i="6"/>
  <c r="B95" i="7" s="1"/>
  <c r="C152" i="6"/>
  <c r="B96" i="7" s="1"/>
  <c r="C153" i="6"/>
  <c r="B97" i="7" s="1"/>
  <c r="C154" i="6"/>
  <c r="B98" i="7" s="1"/>
  <c r="C155" i="6"/>
  <c r="B99" i="7" s="1"/>
  <c r="C156" i="6"/>
  <c r="B100" i="7" s="1"/>
  <c r="C157" i="6"/>
  <c r="B101" i="7" s="1"/>
  <c r="C141" i="6"/>
  <c r="B85" i="7" s="1"/>
  <c r="C118" i="6"/>
  <c r="C119" i="6"/>
  <c r="C120" i="6"/>
  <c r="C134" i="6"/>
  <c r="C135" i="6"/>
  <c r="C136" i="6"/>
  <c r="C137" i="6"/>
  <c r="C138" i="6"/>
  <c r="C117" i="6"/>
  <c r="C107" i="6"/>
  <c r="C108" i="6"/>
  <c r="C109" i="6"/>
  <c r="C110" i="6"/>
  <c r="C111" i="6"/>
  <c r="C112" i="6"/>
  <c r="C113" i="6"/>
  <c r="C114" i="6"/>
  <c r="C106" i="6"/>
  <c r="C103" i="6"/>
  <c r="C81" i="6"/>
  <c r="B64" i="7" s="1"/>
  <c r="C82" i="6"/>
  <c r="B65" i="7" s="1"/>
  <c r="C83" i="6"/>
  <c r="B66" i="7" s="1"/>
  <c r="C84" i="6"/>
  <c r="B67" i="7" s="1"/>
  <c r="C85" i="6"/>
  <c r="B68" i="7" s="1"/>
  <c r="C86" i="6"/>
  <c r="B69" i="7" s="1"/>
  <c r="C87" i="6"/>
  <c r="B70" i="7" s="1"/>
  <c r="C88" i="6"/>
  <c r="B71" i="7" s="1"/>
  <c r="C89" i="6"/>
  <c r="B72" i="7" s="1"/>
  <c r="C90" i="6"/>
  <c r="B73" i="7" s="1"/>
  <c r="C91" i="6"/>
  <c r="B74" i="7" s="1"/>
  <c r="C92" i="6"/>
  <c r="B75" i="7" s="1"/>
  <c r="C93" i="6"/>
  <c r="B76" i="7" s="1"/>
  <c r="C80" i="6"/>
  <c r="B63" i="7" s="1"/>
  <c r="C47" i="6"/>
  <c r="B31" i="7" s="1"/>
  <c r="C48" i="6"/>
  <c r="B32" i="7" s="1"/>
  <c r="C49" i="6"/>
  <c r="B33" i="7" s="1"/>
  <c r="C50" i="6"/>
  <c r="B34" i="7" s="1"/>
  <c r="C51" i="6"/>
  <c r="B35" i="7" s="1"/>
  <c r="C52" i="6"/>
  <c r="B36" i="7" s="1"/>
  <c r="C53" i="6"/>
  <c r="B37" i="7" s="1"/>
  <c r="C54" i="6"/>
  <c r="B38" i="7" s="1"/>
  <c r="C55" i="6"/>
  <c r="B39" i="7" s="1"/>
  <c r="C57" i="6"/>
  <c r="B41" i="7" s="1"/>
  <c r="C58" i="6"/>
  <c r="B42" i="7" s="1"/>
  <c r="C59" i="6"/>
  <c r="B43" i="7" s="1"/>
  <c r="C60" i="6"/>
  <c r="B44" i="7" s="1"/>
  <c r="C61" i="6"/>
  <c r="B45" i="7" s="1"/>
  <c r="C62" i="6"/>
  <c r="B46" i="7" s="1"/>
  <c r="C63" i="6"/>
  <c r="B47" i="7" s="1"/>
  <c r="C64" i="6"/>
  <c r="B48" i="7" s="1"/>
  <c r="C65" i="6"/>
  <c r="B49" i="7" s="1"/>
  <c r="C66" i="6"/>
  <c r="B50" i="7" s="1"/>
  <c r="C67" i="6"/>
  <c r="B51" i="7" s="1"/>
  <c r="C68" i="6"/>
  <c r="B52" i="7" s="1"/>
  <c r="C69" i="6"/>
  <c r="B53" i="7" s="1"/>
  <c r="C70" i="6"/>
  <c r="B54" i="7" s="1"/>
  <c r="C71" i="6"/>
  <c r="B55" i="7" s="1"/>
  <c r="C72" i="6"/>
  <c r="B56" i="7" s="1"/>
  <c r="C73" i="6"/>
  <c r="B57" i="7" s="1"/>
  <c r="C46" i="6"/>
  <c r="B30" i="7" s="1"/>
  <c r="C7" i="6"/>
  <c r="C8" i="6"/>
  <c r="B6" i="7" s="1"/>
  <c r="C9" i="6"/>
  <c r="B7" i="7" s="1"/>
  <c r="C10" i="6"/>
  <c r="C11" i="6"/>
  <c r="B8" i="7" s="1"/>
  <c r="C12" i="6"/>
  <c r="C13" i="6"/>
  <c r="B9" i="7" s="1"/>
  <c r="C14" i="6"/>
  <c r="C15" i="6"/>
  <c r="B10" i="7" s="1"/>
  <c r="C16" i="6"/>
  <c r="C17" i="6"/>
  <c r="B11" i="7" s="1"/>
  <c r="C18" i="6"/>
  <c r="C19" i="6"/>
  <c r="B12" i="7" s="1"/>
  <c r="C20" i="6"/>
  <c r="C21" i="6"/>
  <c r="B13" i="7" s="1"/>
  <c r="C22" i="6"/>
  <c r="B14" i="7" s="1"/>
  <c r="C23" i="6"/>
  <c r="B15" i="7" s="1"/>
  <c r="C24" i="6"/>
  <c r="C25" i="6"/>
  <c r="C26" i="6"/>
  <c r="B16" i="7" s="1"/>
  <c r="C28" i="6"/>
  <c r="B18" i="7" s="1"/>
  <c r="C29" i="6"/>
  <c r="B19" i="7" s="1"/>
  <c r="C30" i="6"/>
  <c r="B20" i="7" s="1"/>
  <c r="C31" i="6"/>
  <c r="B21" i="7" s="1"/>
  <c r="C32" i="6"/>
  <c r="C33" i="6"/>
  <c r="B22" i="7" s="1"/>
  <c r="C34" i="6"/>
  <c r="C35" i="6"/>
  <c r="C36" i="6"/>
  <c r="B23" i="7" s="1"/>
  <c r="C37" i="6"/>
  <c r="C38" i="6"/>
  <c r="B24" i="7" s="1"/>
  <c r="C39" i="6"/>
  <c r="C40" i="6"/>
  <c r="B25" i="7" s="1"/>
  <c r="C6" i="6"/>
  <c r="B5" i="7" s="1"/>
  <c r="C156" i="4"/>
  <c r="C155" i="5" s="1"/>
  <c r="C163" i="4"/>
  <c r="C162" i="5" s="1"/>
  <c r="C160" i="4"/>
  <c r="C159" i="5" s="1"/>
  <c r="C142" i="4"/>
  <c r="C141" i="5" s="1"/>
  <c r="C143" i="4"/>
  <c r="C142" i="5" s="1"/>
  <c r="C144" i="4"/>
  <c r="C143" i="5" s="1"/>
  <c r="C145" i="4"/>
  <c r="C144" i="5" s="1"/>
  <c r="C146" i="4"/>
  <c r="C145" i="5" s="1"/>
  <c r="C147" i="4"/>
  <c r="C146" i="5" s="1"/>
  <c r="C148" i="4"/>
  <c r="C147" i="5" s="1"/>
  <c r="C149" i="4"/>
  <c r="C148" i="5" s="1"/>
  <c r="C150" i="4"/>
  <c r="C149" i="5" s="1"/>
  <c r="C151" i="4"/>
  <c r="C150" i="5" s="1"/>
  <c r="C152" i="4"/>
  <c r="C151" i="5" s="1"/>
  <c r="C153" i="4"/>
  <c r="C152" i="5" s="1"/>
  <c r="C154" i="4"/>
  <c r="C153" i="5" s="1"/>
  <c r="C155" i="4"/>
  <c r="C154" i="5" s="1"/>
  <c r="C157" i="4"/>
  <c r="C156" i="5" s="1"/>
  <c r="C141" i="4"/>
  <c r="C140" i="5" s="1"/>
  <c r="C118" i="4"/>
  <c r="C117" i="5" s="1"/>
  <c r="C119" i="4"/>
  <c r="C118" i="5" s="1"/>
  <c r="C120" i="4"/>
  <c r="C119" i="5" s="1"/>
  <c r="C122" i="4"/>
  <c r="C121" i="5" s="1"/>
  <c r="C123" i="4"/>
  <c r="C122" i="5" s="1"/>
  <c r="C125" i="4"/>
  <c r="C124" i="5" s="1"/>
  <c r="C126" i="4"/>
  <c r="C125" i="5" s="1"/>
  <c r="C128" i="4"/>
  <c r="C127" i="5" s="1"/>
  <c r="C129" i="4"/>
  <c r="C128" i="5" s="1"/>
  <c r="C131" i="4"/>
  <c r="C130" i="5" s="1"/>
  <c r="C132" i="4"/>
  <c r="C131" i="5" s="1"/>
  <c r="C134" i="4"/>
  <c r="C133" i="5" s="1"/>
  <c r="C135" i="4"/>
  <c r="C134" i="5" s="1"/>
  <c r="C136" i="4"/>
  <c r="C135" i="5" s="1"/>
  <c r="C137" i="4"/>
  <c r="C136" i="5" s="1"/>
  <c r="C138" i="4"/>
  <c r="C137" i="5" s="1"/>
  <c r="C117" i="4"/>
  <c r="C116" i="5" s="1"/>
  <c r="C107" i="4"/>
  <c r="C106" i="5" s="1"/>
  <c r="C108" i="4"/>
  <c r="C107" i="5" s="1"/>
  <c r="C109" i="4"/>
  <c r="C108" i="5" s="1"/>
  <c r="C110" i="4"/>
  <c r="C109" i="5" s="1"/>
  <c r="C111" i="4"/>
  <c r="C110" i="5" s="1"/>
  <c r="C112" i="4"/>
  <c r="C111" i="5" s="1"/>
  <c r="C113" i="4"/>
  <c r="C112" i="5" s="1"/>
  <c r="C114" i="4"/>
  <c r="C113" i="5" s="1"/>
  <c r="C106" i="4"/>
  <c r="C105" i="5" s="1"/>
  <c r="C103" i="4"/>
  <c r="C102" i="5" s="1"/>
  <c r="C81" i="4"/>
  <c r="C80" i="5" s="1"/>
  <c r="C82" i="4"/>
  <c r="C81" i="5" s="1"/>
  <c r="C83" i="4"/>
  <c r="C82" i="5" s="1"/>
  <c r="C84" i="4"/>
  <c r="C83" i="5" s="1"/>
  <c r="C85" i="4"/>
  <c r="C84" i="5" s="1"/>
  <c r="C86" i="4"/>
  <c r="C85" i="5" s="1"/>
  <c r="C87" i="4"/>
  <c r="C86" i="5" s="1"/>
  <c r="C88" i="4"/>
  <c r="C87" i="5" s="1"/>
  <c r="C89" i="4"/>
  <c r="C88" i="5" s="1"/>
  <c r="C90" i="4"/>
  <c r="C89" i="5" s="1"/>
  <c r="C91" i="4"/>
  <c r="C90" i="5" s="1"/>
  <c r="C92" i="4"/>
  <c r="C91" i="5" s="1"/>
  <c r="C93" i="4"/>
  <c r="C92" i="5" s="1"/>
  <c r="C80" i="4"/>
  <c r="C79" i="5" s="1"/>
  <c r="C46" i="5"/>
  <c r="C47" i="5"/>
  <c r="C48" i="5"/>
  <c r="C49" i="5"/>
  <c r="C50" i="5"/>
  <c r="C51" i="5"/>
  <c r="C52" i="5"/>
  <c r="C53" i="5"/>
  <c r="C54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4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5" i="5"/>
  <c r="I143" i="4" l="1"/>
  <c r="Q50" i="4"/>
  <c r="V55" i="4"/>
  <c r="I55" i="4"/>
  <c r="L162" i="5"/>
  <c r="L163" i="5" s="1"/>
  <c r="I163" i="4"/>
  <c r="E101" i="4"/>
  <c r="D101" i="4"/>
  <c r="D78" i="4"/>
  <c r="E78" i="4"/>
  <c r="F107" i="4"/>
  <c r="I107" i="4" s="1"/>
  <c r="N142" i="5"/>
  <c r="F110" i="4"/>
  <c r="I110" i="4" s="1"/>
  <c r="F138" i="4"/>
  <c r="J8" i="15" s="1"/>
  <c r="L8" i="15" s="1"/>
  <c r="N8" i="15" s="1"/>
  <c r="F92" i="4"/>
  <c r="L91" i="5" s="1"/>
  <c r="F88" i="4"/>
  <c r="L87" i="5" s="1"/>
  <c r="F123" i="4"/>
  <c r="J4" i="15" s="1"/>
  <c r="L4" i="15" s="1"/>
  <c r="N4" i="15" s="1"/>
  <c r="F118" i="4"/>
  <c r="I118" i="4" s="1"/>
  <c r="F58" i="4"/>
  <c r="I58" i="4" s="1"/>
  <c r="F122" i="4"/>
  <c r="I122" i="4" s="1"/>
  <c r="F66" i="4"/>
  <c r="F62" i="4"/>
  <c r="I62" i="4" s="1"/>
  <c r="F155" i="4"/>
  <c r="I155" i="4" s="1"/>
  <c r="F135" i="4"/>
  <c r="I135" i="4" s="1"/>
  <c r="F134" i="4"/>
  <c r="I134" i="4" s="1"/>
  <c r="F120" i="4"/>
  <c r="F151" i="4"/>
  <c r="I151" i="4" s="1"/>
  <c r="F59" i="4"/>
  <c r="I59" i="4" s="1"/>
  <c r="F119" i="4"/>
  <c r="I119" i="4" s="1"/>
  <c r="F69" i="4"/>
  <c r="I69" i="4" s="1"/>
  <c r="L25" i="5"/>
  <c r="L21" i="5"/>
  <c r="F71" i="4"/>
  <c r="I71" i="4" s="1"/>
  <c r="F67" i="4"/>
  <c r="I67" i="4" s="1"/>
  <c r="F63" i="4"/>
  <c r="I63" i="4" s="1"/>
  <c r="F89" i="4"/>
  <c r="I89" i="4" s="1"/>
  <c r="F157" i="4"/>
  <c r="J18" i="15" s="1"/>
  <c r="L18" i="15" s="1"/>
  <c r="N18" i="15" s="1"/>
  <c r="F91" i="4"/>
  <c r="F93" i="4"/>
  <c r="I93" i="4" s="1"/>
  <c r="F85" i="4"/>
  <c r="I85" i="4" s="1"/>
  <c r="F81" i="4"/>
  <c r="L18" i="5"/>
  <c r="F80" i="4"/>
  <c r="I80" i="4" s="1"/>
  <c r="F90" i="4"/>
  <c r="F82" i="4"/>
  <c r="I82" i="4" s="1"/>
  <c r="F103" i="4"/>
  <c r="I103" i="4" s="1"/>
  <c r="F117" i="4"/>
  <c r="I117" i="4" s="1"/>
  <c r="F156" i="4"/>
  <c r="I156" i="4" s="1"/>
  <c r="F148" i="4"/>
  <c r="J14" i="15" s="1"/>
  <c r="L14" i="15" s="1"/>
  <c r="N14" i="15" s="1"/>
  <c r="F54" i="4"/>
  <c r="I54" i="4" s="1"/>
  <c r="F70" i="4"/>
  <c r="I70" i="4" s="1"/>
  <c r="F61" i="4"/>
  <c r="I61" i="4" s="1"/>
  <c r="F53" i="4"/>
  <c r="F73" i="4"/>
  <c r="I73" i="4" s="1"/>
  <c r="F65" i="4"/>
  <c r="I65" i="4" s="1"/>
  <c r="F57" i="4"/>
  <c r="I57" i="4" s="1"/>
  <c r="F52" i="4"/>
  <c r="I52" i="4" s="1"/>
  <c r="V52" i="4" s="1"/>
  <c r="F50" i="4"/>
  <c r="I50" i="4" s="1"/>
  <c r="F49" i="4"/>
  <c r="I49" i="4" s="1"/>
  <c r="F48" i="4"/>
  <c r="I48" i="4" s="1"/>
  <c r="F46" i="4"/>
  <c r="I46" i="4" s="1"/>
  <c r="L31" i="5"/>
  <c r="L30" i="5"/>
  <c r="L16" i="5"/>
  <c r="L13" i="5"/>
  <c r="L9" i="5"/>
  <c r="F87" i="4"/>
  <c r="I87" i="4" s="1"/>
  <c r="F86" i="4"/>
  <c r="I86" i="4" s="1"/>
  <c r="F84" i="4"/>
  <c r="I84" i="4" s="1"/>
  <c r="F83" i="4"/>
  <c r="I83" i="4" s="1"/>
  <c r="F72" i="4"/>
  <c r="I72" i="4" s="1"/>
  <c r="F68" i="4"/>
  <c r="I68" i="4" s="1"/>
  <c r="F64" i="4"/>
  <c r="I64" i="4" s="1"/>
  <c r="V64" i="4" s="1"/>
  <c r="F60" i="4"/>
  <c r="I60" i="4" s="1"/>
  <c r="F55" i="4"/>
  <c r="F51" i="4"/>
  <c r="I51" i="4" s="1"/>
  <c r="F47" i="4"/>
  <c r="I47" i="4" s="1"/>
  <c r="I164" i="4"/>
  <c r="D14" i="14" s="1"/>
  <c r="E14" i="14" s="1"/>
  <c r="F164" i="4"/>
  <c r="B14" i="14" s="1"/>
  <c r="E161" i="4"/>
  <c r="F160" i="4"/>
  <c r="I160" i="4" s="1"/>
  <c r="F106" i="4"/>
  <c r="I106" i="4" s="1"/>
  <c r="F141" i="4"/>
  <c r="I141" i="4" s="1"/>
  <c r="F142" i="4"/>
  <c r="J138" i="5"/>
  <c r="V166" i="4" l="1"/>
  <c r="J11" i="15"/>
  <c r="L11" i="15" s="1"/>
  <c r="J3" i="15"/>
  <c r="L3" i="15" s="1"/>
  <c r="L80" i="5"/>
  <c r="I81" i="4"/>
  <c r="L65" i="5"/>
  <c r="I66" i="4"/>
  <c r="I115" i="4"/>
  <c r="D10" i="14" s="1"/>
  <c r="F101" i="4"/>
  <c r="B8" i="14" s="1"/>
  <c r="F78" i="4"/>
  <c r="B7" i="14" s="1"/>
  <c r="N147" i="5"/>
  <c r="L156" i="5"/>
  <c r="N156" i="5"/>
  <c r="L133" i="5"/>
  <c r="N133" i="5"/>
  <c r="M117" i="5"/>
  <c r="L117" i="5"/>
  <c r="N155" i="5"/>
  <c r="H155" i="5" s="1"/>
  <c r="N134" i="5"/>
  <c r="L134" i="5"/>
  <c r="N154" i="5"/>
  <c r="F154" i="5" s="1"/>
  <c r="M121" i="5"/>
  <c r="D121" i="5" s="1"/>
  <c r="L121" i="5"/>
  <c r="N121" i="5"/>
  <c r="N122" i="5"/>
  <c r="L122" i="5"/>
  <c r="D122" i="5" s="1"/>
  <c r="N141" i="5"/>
  <c r="N140" i="5"/>
  <c r="D140" i="5" s="1"/>
  <c r="M116" i="5"/>
  <c r="L116" i="5"/>
  <c r="N150" i="5"/>
  <c r="L137" i="5"/>
  <c r="N137" i="5"/>
  <c r="I92" i="4"/>
  <c r="L7" i="5"/>
  <c r="L68" i="5"/>
  <c r="L79" i="5"/>
  <c r="L118" i="5"/>
  <c r="L61" i="5"/>
  <c r="I88" i="4"/>
  <c r="L17" i="5"/>
  <c r="L38" i="5"/>
  <c r="L57" i="5"/>
  <c r="L84" i="5"/>
  <c r="L14" i="5"/>
  <c r="L27" i="5"/>
  <c r="L62" i="5"/>
  <c r="L58" i="5"/>
  <c r="L22" i="5"/>
  <c r="L49" i="5"/>
  <c r="L47" i="5"/>
  <c r="L53" i="5"/>
  <c r="L64" i="5"/>
  <c r="L88" i="5"/>
  <c r="L70" i="5"/>
  <c r="L66" i="5"/>
  <c r="L34" i="5"/>
  <c r="L81" i="5"/>
  <c r="L35" i="5"/>
  <c r="L5" i="5"/>
  <c r="L10" i="5"/>
  <c r="L32" i="5"/>
  <c r="L36" i="5"/>
  <c r="L60" i="5"/>
  <c r="L37" i="5"/>
  <c r="L12" i="5"/>
  <c r="L92" i="5"/>
  <c r="L28" i="5"/>
  <c r="I91" i="4"/>
  <c r="L90" i="5"/>
  <c r="L6" i="5"/>
  <c r="L39" i="5"/>
  <c r="I90" i="4"/>
  <c r="L89" i="5"/>
  <c r="L102" i="5"/>
  <c r="L103" i="5" s="1"/>
  <c r="L11" i="5"/>
  <c r="L69" i="5"/>
  <c r="I53" i="4"/>
  <c r="L52" i="5"/>
  <c r="L72" i="5"/>
  <c r="L56" i="5"/>
  <c r="L51" i="5"/>
  <c r="L48" i="5"/>
  <c r="L45" i="5"/>
  <c r="L33" i="5"/>
  <c r="L29" i="5"/>
  <c r="L24" i="5"/>
  <c r="L23" i="5"/>
  <c r="L20" i="5"/>
  <c r="L19" i="5"/>
  <c r="L15" i="5"/>
  <c r="L8" i="5"/>
  <c r="L86" i="5"/>
  <c r="L85" i="5"/>
  <c r="L83" i="5"/>
  <c r="L82" i="5"/>
  <c r="L67" i="5"/>
  <c r="L54" i="5"/>
  <c r="L71" i="5"/>
  <c r="L50" i="5"/>
  <c r="L59" i="5"/>
  <c r="F161" i="4"/>
  <c r="B13" i="14" s="1"/>
  <c r="L159" i="5"/>
  <c r="L160" i="5" s="1"/>
  <c r="I161" i="4"/>
  <c r="D13" i="14" s="1"/>
  <c r="E13" i="14" s="1"/>
  <c r="L46" i="5"/>
  <c r="L63" i="5"/>
  <c r="L155" i="5"/>
  <c r="L154" i="5"/>
  <c r="L150" i="5"/>
  <c r="L147" i="5"/>
  <c r="L142" i="5"/>
  <c r="L141" i="5"/>
  <c r="L140" i="5"/>
  <c r="E153" i="4"/>
  <c r="F153" i="4" s="1"/>
  <c r="I153" i="4" s="1"/>
  <c r="E149" i="4"/>
  <c r="F149" i="4" s="1"/>
  <c r="I149" i="4" s="1"/>
  <c r="E147" i="4"/>
  <c r="F147" i="4" s="1"/>
  <c r="I147" i="4" s="1"/>
  <c r="E145" i="4"/>
  <c r="F145" i="4" s="1"/>
  <c r="I145" i="4" s="1"/>
  <c r="E154" i="4"/>
  <c r="F154" i="4" s="1"/>
  <c r="J17" i="15" s="1"/>
  <c r="L17" i="15" s="1"/>
  <c r="N17" i="15" s="1"/>
  <c r="E152" i="4"/>
  <c r="F152" i="4" s="1"/>
  <c r="J16" i="15" s="1"/>
  <c r="L16" i="15" s="1"/>
  <c r="N16" i="15" s="1"/>
  <c r="E150" i="4"/>
  <c r="F150" i="4" s="1"/>
  <c r="J15" i="15" s="1"/>
  <c r="L15" i="15" s="1"/>
  <c r="N15" i="15" s="1"/>
  <c r="E146" i="4"/>
  <c r="F146" i="4" s="1"/>
  <c r="J13" i="15" s="1"/>
  <c r="L13" i="15" s="1"/>
  <c r="N13" i="15" s="1"/>
  <c r="E144" i="4"/>
  <c r="F144" i="4" s="1"/>
  <c r="J12" i="15" s="1"/>
  <c r="L12" i="15" s="1"/>
  <c r="N12" i="15" s="1"/>
  <c r="L119" i="5"/>
  <c r="D119" i="5" s="1"/>
  <c r="N11" i="15" l="1"/>
  <c r="L19" i="15"/>
  <c r="N19" i="15" s="1"/>
  <c r="A4" i="15"/>
  <c r="N3" i="15"/>
  <c r="L100" i="5"/>
  <c r="L77" i="5"/>
  <c r="L43" i="5"/>
  <c r="I101" i="4"/>
  <c r="D8" i="14" s="1"/>
  <c r="E8" i="14" s="1"/>
  <c r="I78" i="4"/>
  <c r="D7" i="14" s="1"/>
  <c r="E7" i="14" s="1"/>
  <c r="N143" i="5"/>
  <c r="N152" i="5"/>
  <c r="N149" i="5"/>
  <c r="N146" i="5"/>
  <c r="H137" i="5"/>
  <c r="I139" i="6" s="1"/>
  <c r="F137" i="5"/>
  <c r="N151" i="5"/>
  <c r="N148" i="5"/>
  <c r="N153" i="5"/>
  <c r="N145" i="5"/>
  <c r="N144" i="5"/>
  <c r="H156" i="5"/>
  <c r="F156" i="5"/>
  <c r="L148" i="5"/>
  <c r="L144" i="5"/>
  <c r="L152" i="5"/>
  <c r="L145" i="5"/>
  <c r="L149" i="5"/>
  <c r="L153" i="5"/>
  <c r="L146" i="5"/>
  <c r="L143" i="5"/>
  <c r="L151" i="5"/>
  <c r="D132" i="4"/>
  <c r="E132" i="4"/>
  <c r="E128" i="4"/>
  <c r="F128" i="4" s="1"/>
  <c r="I128" i="4" s="1"/>
  <c r="E126" i="4"/>
  <c r="F126" i="4" s="1"/>
  <c r="E125" i="4"/>
  <c r="F125" i="4" s="1"/>
  <c r="I125" i="4" s="1"/>
  <c r="D137" i="4"/>
  <c r="F137" i="4" s="1"/>
  <c r="I137" i="4" s="1"/>
  <c r="D136" i="4"/>
  <c r="F136" i="4" s="1"/>
  <c r="I136" i="4" s="1"/>
  <c r="J5" i="15" l="1"/>
  <c r="L5" i="15" s="1"/>
  <c r="I158" i="4"/>
  <c r="D12" i="14" s="1"/>
  <c r="N135" i="5"/>
  <c r="L135" i="5"/>
  <c r="N127" i="5"/>
  <c r="L127" i="5"/>
  <c r="L124" i="5"/>
  <c r="N124" i="5"/>
  <c r="L125" i="5"/>
  <c r="F125" i="5" s="1"/>
  <c r="N125" i="5"/>
  <c r="L136" i="5"/>
  <c r="N136" i="5"/>
  <c r="F132" i="4"/>
  <c r="J7" i="15" s="1"/>
  <c r="L7" i="15" s="1"/>
  <c r="N7" i="15" s="1"/>
  <c r="L157" i="5"/>
  <c r="E129" i="4"/>
  <c r="F129" i="4" s="1"/>
  <c r="J6" i="15" s="1"/>
  <c r="L6" i="15" s="1"/>
  <c r="N6" i="15" s="1"/>
  <c r="E131" i="4"/>
  <c r="F131" i="4" s="1"/>
  <c r="I131" i="4" s="1"/>
  <c r="A3" i="15" l="1"/>
  <c r="A5" i="15" s="1"/>
  <c r="N5" i="15"/>
  <c r="L9" i="15"/>
  <c r="N130" i="5"/>
  <c r="L130" i="5"/>
  <c r="L128" i="5"/>
  <c r="F128" i="5" s="1"/>
  <c r="N128" i="5"/>
  <c r="N131" i="5"/>
  <c r="L131" i="5"/>
  <c r="F131" i="5" s="1"/>
  <c r="L21" i="15" l="1"/>
  <c r="N9" i="15"/>
  <c r="N21" i="15" s="1"/>
  <c r="G139" i="6"/>
  <c r="I139" i="4"/>
  <c r="L138" i="5"/>
  <c r="I165" i="4" l="1"/>
  <c r="D11" i="14"/>
  <c r="AH55" i="2"/>
  <c r="AG124" i="2"/>
  <c r="AG117" i="2"/>
  <c r="AG41" i="2"/>
  <c r="AG55" i="2"/>
  <c r="AG12" i="2"/>
  <c r="E127" i="2" l="1"/>
  <c r="M119" i="5"/>
  <c r="M122" i="5"/>
  <c r="M125" i="5"/>
  <c r="M128" i="5"/>
  <c r="M131" i="5"/>
  <c r="M137" i="5"/>
  <c r="M64" i="5"/>
  <c r="M66" i="5"/>
  <c r="M67" i="5"/>
  <c r="M69" i="5"/>
  <c r="M70" i="5"/>
  <c r="M72" i="5"/>
  <c r="M21" i="5"/>
  <c r="M22" i="5"/>
  <c r="M23" i="5"/>
  <c r="M24" i="5"/>
  <c r="M25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F158" i="4"/>
  <c r="B12" i="14" s="1"/>
  <c r="E12" i="14" s="1"/>
  <c r="E158" i="4"/>
  <c r="D158" i="4"/>
  <c r="F139" i="4"/>
  <c r="B11" i="14" s="1"/>
  <c r="E139" i="4"/>
  <c r="D139" i="4"/>
  <c r="E115" i="4"/>
  <c r="D115" i="4"/>
  <c r="F104" i="4"/>
  <c r="E104" i="4"/>
  <c r="D104" i="4"/>
  <c r="D9" i="14" l="1"/>
  <c r="B9" i="14"/>
  <c r="E11" i="14"/>
  <c r="E139" i="6"/>
  <c r="I158" i="6"/>
  <c r="M162" i="5"/>
  <c r="M163" i="5" s="1"/>
  <c r="M159" i="5"/>
  <c r="M160" i="5" s="1"/>
  <c r="M154" i="5"/>
  <c r="M142" i="5"/>
  <c r="M150" i="5"/>
  <c r="M155" i="5"/>
  <c r="M146" i="5"/>
  <c r="M152" i="5"/>
  <c r="M148" i="5"/>
  <c r="M144" i="5"/>
  <c r="M140" i="5"/>
  <c r="M136" i="5"/>
  <c r="H136" i="5" s="1"/>
  <c r="M118" i="5"/>
  <c r="D118" i="5" s="1"/>
  <c r="M135" i="5"/>
  <c r="F135" i="5" s="1"/>
  <c r="M124" i="5"/>
  <c r="F124" i="5" s="1"/>
  <c r="M133" i="5"/>
  <c r="F133" i="5" s="1"/>
  <c r="M127" i="5"/>
  <c r="F127" i="5" s="1"/>
  <c r="M130" i="5"/>
  <c r="F130" i="5" s="1"/>
  <c r="M134" i="5"/>
  <c r="H134" i="5" s="1"/>
  <c r="L109" i="5"/>
  <c r="L108" i="5"/>
  <c r="L113" i="5"/>
  <c r="L112" i="5"/>
  <c r="L106" i="5"/>
  <c r="L110" i="5"/>
  <c r="L107" i="5"/>
  <c r="L111" i="5"/>
  <c r="L105" i="5"/>
  <c r="M102" i="5"/>
  <c r="M103" i="5" s="1"/>
  <c r="M84" i="5"/>
  <c r="M87" i="5"/>
  <c r="M88" i="5"/>
  <c r="M83" i="5"/>
  <c r="M82" i="5"/>
  <c r="M92" i="5"/>
  <c r="M80" i="5"/>
  <c r="M91" i="5"/>
  <c r="M90" i="5"/>
  <c r="M86" i="5"/>
  <c r="M89" i="5"/>
  <c r="M85" i="5"/>
  <c r="M81" i="5"/>
  <c r="M79" i="5"/>
  <c r="M63" i="5"/>
  <c r="M50" i="5"/>
  <c r="M58" i="5"/>
  <c r="M49" i="5"/>
  <c r="M54" i="5"/>
  <c r="M65" i="5"/>
  <c r="M61" i="5"/>
  <c r="M57" i="5"/>
  <c r="M52" i="5"/>
  <c r="M48" i="5"/>
  <c r="M71" i="5"/>
  <c r="M59" i="5"/>
  <c r="M46" i="5"/>
  <c r="M62" i="5"/>
  <c r="M53" i="5"/>
  <c r="M68" i="5"/>
  <c r="M60" i="5"/>
  <c r="M56" i="5"/>
  <c r="M51" i="5"/>
  <c r="M47" i="5"/>
  <c r="M45" i="5"/>
  <c r="M17" i="5"/>
  <c r="M9" i="5"/>
  <c r="M20" i="5"/>
  <c r="M16" i="5"/>
  <c r="M12" i="5"/>
  <c r="M8" i="5"/>
  <c r="M19" i="5"/>
  <c r="M15" i="5"/>
  <c r="M11" i="5"/>
  <c r="M7" i="5"/>
  <c r="M13" i="5"/>
  <c r="M6" i="5"/>
  <c r="M18" i="5"/>
  <c r="M14" i="5"/>
  <c r="M10" i="5"/>
  <c r="M5" i="5"/>
  <c r="D165" i="4"/>
  <c r="F115" i="4"/>
  <c r="E9" i="14" l="1"/>
  <c r="D15" i="14"/>
  <c r="F165" i="4"/>
  <c r="B10" i="14"/>
  <c r="I165" i="6"/>
  <c r="M43" i="5"/>
  <c r="M100" i="5"/>
  <c r="M77" i="5"/>
  <c r="H157" i="5"/>
  <c r="M157" i="5"/>
  <c r="H117" i="6"/>
  <c r="F117" i="6"/>
  <c r="D117" i="6"/>
  <c r="F118" i="6"/>
  <c r="H118" i="6"/>
  <c r="D118" i="6"/>
  <c r="M138" i="5"/>
  <c r="M111" i="5"/>
  <c r="F111" i="5" s="1"/>
  <c r="M110" i="5"/>
  <c r="M112" i="5"/>
  <c r="H112" i="5" s="1"/>
  <c r="M108" i="5"/>
  <c r="L114" i="5"/>
  <c r="M107" i="5"/>
  <c r="M106" i="5"/>
  <c r="M113" i="5"/>
  <c r="M109" i="5"/>
  <c r="M105" i="5"/>
  <c r="H79" i="5"/>
  <c r="D79" i="5"/>
  <c r="J79" i="5"/>
  <c r="F79" i="5"/>
  <c r="D45" i="5"/>
  <c r="J45" i="5"/>
  <c r="F45" i="5"/>
  <c r="H45" i="5"/>
  <c r="E115" i="3"/>
  <c r="D115" i="3"/>
  <c r="E158" i="3"/>
  <c r="F158" i="3"/>
  <c r="D158" i="3"/>
  <c r="E139" i="3"/>
  <c r="F139" i="3"/>
  <c r="D139" i="3"/>
  <c r="E104" i="3"/>
  <c r="F104" i="3"/>
  <c r="D104" i="3"/>
  <c r="E10" i="14" l="1"/>
  <c r="B15" i="14"/>
  <c r="H46" i="5"/>
  <c r="M114" i="5"/>
  <c r="F46" i="5"/>
  <c r="J46" i="5"/>
  <c r="D46" i="5"/>
  <c r="F115" i="3"/>
  <c r="F165" i="3" s="1"/>
  <c r="E165" i="3"/>
  <c r="D165" i="3"/>
  <c r="AA138" i="2"/>
  <c r="AB138" i="2" s="1"/>
  <c r="AA139" i="2"/>
  <c r="AB139" i="2" s="1"/>
  <c r="AA140" i="2"/>
  <c r="AB140" i="2" s="1"/>
  <c r="AA141" i="2"/>
  <c r="AB141" i="2" s="1"/>
  <c r="AA142" i="2"/>
  <c r="AB142" i="2" s="1"/>
  <c r="AA143" i="2"/>
  <c r="AB143" i="2" s="1"/>
  <c r="AA144" i="2"/>
  <c r="AB144" i="2" s="1"/>
  <c r="AA145" i="2"/>
  <c r="AB145" i="2" s="1"/>
  <c r="AA146" i="2"/>
  <c r="AB146" i="2" s="1"/>
  <c r="AA147" i="2"/>
  <c r="AB147" i="2" s="1"/>
  <c r="AA148" i="2"/>
  <c r="AB148" i="2" s="1"/>
  <c r="AA149" i="2"/>
  <c r="AB149" i="2" s="1"/>
  <c r="AA150" i="2"/>
  <c r="AB150" i="2" s="1"/>
  <c r="AA151" i="2"/>
  <c r="AB151" i="2" s="1"/>
  <c r="AA152" i="2"/>
  <c r="AB152" i="2" s="1"/>
  <c r="AA153" i="2"/>
  <c r="AB153" i="2" s="1"/>
  <c r="AA154" i="2"/>
  <c r="AB154" i="2" s="1"/>
  <c r="AA155" i="2"/>
  <c r="AB155" i="2" s="1"/>
  <c r="AA156" i="2"/>
  <c r="AB156" i="2" s="1"/>
  <c r="AA157" i="2"/>
  <c r="AB157" i="2" s="1"/>
  <c r="AA158" i="2"/>
  <c r="AB158" i="2" s="1"/>
  <c r="AA159" i="2"/>
  <c r="AB159" i="2" s="1"/>
  <c r="AA160" i="2"/>
  <c r="AB160" i="2" s="1"/>
  <c r="AA161" i="2"/>
  <c r="AB161" i="2" s="1"/>
  <c r="AA162" i="2"/>
  <c r="AB162" i="2" s="1"/>
  <c r="AA163" i="2"/>
  <c r="AB163" i="2" s="1"/>
  <c r="AA164" i="2"/>
  <c r="AB164" i="2" s="1"/>
  <c r="AA165" i="2"/>
  <c r="AB165" i="2" s="1"/>
  <c r="AA166" i="2"/>
  <c r="AB166" i="2" s="1"/>
  <c r="AA167" i="2"/>
  <c r="AB167" i="2" s="1"/>
  <c r="AA168" i="2"/>
  <c r="AB168" i="2" s="1"/>
  <c r="AA169" i="2"/>
  <c r="AB169" i="2" s="1"/>
  <c r="AA170" i="2"/>
  <c r="AB170" i="2" s="1"/>
  <c r="AA171" i="2"/>
  <c r="AB171" i="2" s="1"/>
  <c r="AA172" i="2"/>
  <c r="AB172" i="2" s="1"/>
  <c r="AA173" i="2"/>
  <c r="AB173" i="2" s="1"/>
  <c r="AA174" i="2"/>
  <c r="AB174" i="2" s="1"/>
  <c r="AA175" i="2"/>
  <c r="AB175" i="2" s="1"/>
  <c r="AA176" i="2"/>
  <c r="AB176" i="2" s="1"/>
  <c r="AA178" i="2"/>
  <c r="AB178" i="2" s="1"/>
  <c r="AA137" i="2"/>
  <c r="AB137" i="2" s="1"/>
  <c r="AA115" i="2"/>
  <c r="AH115" i="2" s="1"/>
  <c r="AA116" i="2"/>
  <c r="AH116" i="2" s="1"/>
  <c r="AA117" i="2"/>
  <c r="AH117" i="2" s="1"/>
  <c r="AA118" i="2"/>
  <c r="AH118" i="2" s="1"/>
  <c r="AA119" i="2"/>
  <c r="AH119" i="2" s="1"/>
  <c r="AA120" i="2"/>
  <c r="AE120" i="2" s="1"/>
  <c r="AA121" i="2"/>
  <c r="AE121" i="2" s="1"/>
  <c r="AA122" i="2"/>
  <c r="AD122" i="2" s="1"/>
  <c r="AA123" i="2"/>
  <c r="AB123" i="2" s="1"/>
  <c r="AA124" i="2"/>
  <c r="AH124" i="2" s="1"/>
  <c r="AA125" i="2"/>
  <c r="AB125" i="2" s="1"/>
  <c r="AA126" i="2"/>
  <c r="AH126" i="2" s="1"/>
  <c r="AA128" i="2"/>
  <c r="AB128" i="2" s="1"/>
  <c r="AA129" i="2"/>
  <c r="AA114" i="2"/>
  <c r="AD114" i="2" s="1"/>
  <c r="AG114" i="2" s="1"/>
  <c r="AA46" i="2"/>
  <c r="AH46" i="2" s="1"/>
  <c r="AA47" i="2"/>
  <c r="AD47" i="2" s="1"/>
  <c r="AG47" i="2" s="1"/>
  <c r="AA48" i="2"/>
  <c r="AH48" i="2" s="1"/>
  <c r="AA49" i="2"/>
  <c r="AH49" i="2" s="1"/>
  <c r="AA50" i="2"/>
  <c r="AH50" i="2" s="1"/>
  <c r="AA51" i="2"/>
  <c r="AA52" i="2"/>
  <c r="AH52" i="2" s="1"/>
  <c r="AA53" i="2"/>
  <c r="AH53" i="2" s="1"/>
  <c r="AA54" i="2"/>
  <c r="AH54" i="2" s="1"/>
  <c r="AB55" i="2"/>
  <c r="AA56" i="2"/>
  <c r="AH56" i="2" s="1"/>
  <c r="AA57" i="2"/>
  <c r="AH57" i="2" s="1"/>
  <c r="AA58" i="2"/>
  <c r="AH58" i="2" s="1"/>
  <c r="AA59" i="2"/>
  <c r="AH59" i="2" s="1"/>
  <c r="AA60" i="2"/>
  <c r="AH60" i="2" s="1"/>
  <c r="AA61" i="2"/>
  <c r="AH61" i="2" s="1"/>
  <c r="AA62" i="2"/>
  <c r="AH62" i="2" s="1"/>
  <c r="AA63" i="2"/>
  <c r="AH63" i="2" s="1"/>
  <c r="AA64" i="2"/>
  <c r="AH64" i="2" s="1"/>
  <c r="AA65" i="2"/>
  <c r="AH65" i="2" s="1"/>
  <c r="AA66" i="2"/>
  <c r="AH66" i="2" s="1"/>
  <c r="AA67" i="2"/>
  <c r="AH67" i="2" s="1"/>
  <c r="AA68" i="2"/>
  <c r="AH68" i="2" s="1"/>
  <c r="AA69" i="2"/>
  <c r="AH69" i="2" s="1"/>
  <c r="AA70" i="2"/>
  <c r="AH70" i="2" s="1"/>
  <c r="AA71" i="2"/>
  <c r="AH71" i="2" s="1"/>
  <c r="AA72" i="2"/>
  <c r="AH72" i="2" s="1"/>
  <c r="AA73" i="2"/>
  <c r="AH73" i="2" s="1"/>
  <c r="AA74" i="2"/>
  <c r="AH74" i="2" s="1"/>
  <c r="AA75" i="2"/>
  <c r="AH75" i="2" s="1"/>
  <c r="AA76" i="2"/>
  <c r="AH76" i="2" s="1"/>
  <c r="AA77" i="2"/>
  <c r="AH77" i="2" s="1"/>
  <c r="AA78" i="2"/>
  <c r="AH78" i="2" s="1"/>
  <c r="AA79" i="2"/>
  <c r="AH79" i="2" s="1"/>
  <c r="AA80" i="2"/>
  <c r="AH80" i="2" s="1"/>
  <c r="AA81" i="2"/>
  <c r="AH81" i="2" s="1"/>
  <c r="AA82" i="2"/>
  <c r="AH82" i="2" s="1"/>
  <c r="AA83" i="2"/>
  <c r="AH83" i="2" s="1"/>
  <c r="AA84" i="2"/>
  <c r="AH84" i="2" s="1"/>
  <c r="AA85" i="2"/>
  <c r="AH85" i="2" s="1"/>
  <c r="AA86" i="2"/>
  <c r="AH86" i="2" s="1"/>
  <c r="AA87" i="2"/>
  <c r="AH87" i="2" s="1"/>
  <c r="AA88" i="2"/>
  <c r="AH88" i="2" s="1"/>
  <c r="AA89" i="2"/>
  <c r="AH89" i="2" s="1"/>
  <c r="AA90" i="2"/>
  <c r="AH90" i="2" s="1"/>
  <c r="AA91" i="2"/>
  <c r="AH91" i="2" s="1"/>
  <c r="AA92" i="2"/>
  <c r="AH92" i="2" s="1"/>
  <c r="AA93" i="2"/>
  <c r="AH93" i="2" s="1"/>
  <c r="AA94" i="2"/>
  <c r="AH94" i="2" s="1"/>
  <c r="AA95" i="2"/>
  <c r="AH95" i="2" s="1"/>
  <c r="AA96" i="2"/>
  <c r="AH96" i="2" s="1"/>
  <c r="AA97" i="2"/>
  <c r="AH97" i="2" s="1"/>
  <c r="AA98" i="2"/>
  <c r="AH98" i="2" s="1"/>
  <c r="AA99" i="2"/>
  <c r="AH99" i="2" s="1"/>
  <c r="AA100" i="2"/>
  <c r="AH100" i="2" s="1"/>
  <c r="AA101" i="2"/>
  <c r="AH101" i="2" s="1"/>
  <c r="AA102" i="2"/>
  <c r="AH102" i="2" s="1"/>
  <c r="AH103" i="2"/>
  <c r="AH106" i="2"/>
  <c r="AA32" i="2"/>
  <c r="AH32" i="2" s="1"/>
  <c r="AA33" i="2"/>
  <c r="AB33" i="2" s="1"/>
  <c r="AA34" i="2"/>
  <c r="AA35" i="2"/>
  <c r="AH35" i="2" s="1"/>
  <c r="AA36" i="2"/>
  <c r="AD36" i="2" s="1"/>
  <c r="AG36" i="2" s="1"/>
  <c r="AA37" i="2"/>
  <c r="AC37" i="2" s="1"/>
  <c r="AA38" i="2"/>
  <c r="AA39" i="2"/>
  <c r="AH39" i="2" s="1"/>
  <c r="AA40" i="2"/>
  <c r="AD40" i="2" s="1"/>
  <c r="AG40" i="2" s="1"/>
  <c r="AA41" i="2"/>
  <c r="AH41" i="2" s="1"/>
  <c r="AA42" i="2"/>
  <c r="AC42" i="2" s="1"/>
  <c r="AA43" i="2"/>
  <c r="AH43" i="2" s="1"/>
  <c r="AA44" i="2"/>
  <c r="AH44" i="2" s="1"/>
  <c r="AA45" i="2"/>
  <c r="AD45" i="2" s="1"/>
  <c r="AG45" i="2" s="1"/>
  <c r="AA31" i="2"/>
  <c r="AH31" i="2" s="1"/>
  <c r="B179" i="2"/>
  <c r="AB179" i="2" s="1"/>
  <c r="C177" i="2"/>
  <c r="C180" i="2" s="1"/>
  <c r="S8" i="1" s="1"/>
  <c r="D177" i="2"/>
  <c r="D180" i="2" s="1"/>
  <c r="S9" i="1" s="1"/>
  <c r="E177" i="2"/>
  <c r="E180" i="2" s="1"/>
  <c r="S10" i="1" s="1"/>
  <c r="F177" i="2"/>
  <c r="F180" i="2" s="1"/>
  <c r="S11" i="1" s="1"/>
  <c r="G177" i="2"/>
  <c r="G180" i="2" s="1"/>
  <c r="S15" i="1" s="1"/>
  <c r="H177" i="2"/>
  <c r="H180" i="2" s="1"/>
  <c r="I177" i="2"/>
  <c r="I180" i="2" s="1"/>
  <c r="J177" i="2"/>
  <c r="J180" i="2" s="1"/>
  <c r="S19" i="1" s="1"/>
  <c r="K177" i="2"/>
  <c r="K180" i="2" s="1"/>
  <c r="S18" i="1" s="1"/>
  <c r="L177" i="2"/>
  <c r="L180" i="2" s="1"/>
  <c r="M177" i="2"/>
  <c r="M180" i="2" s="1"/>
  <c r="N177" i="2"/>
  <c r="N180" i="2" s="1"/>
  <c r="S29" i="1" s="1"/>
  <c r="O177" i="2"/>
  <c r="O180" i="2" s="1"/>
  <c r="S30" i="1" s="1"/>
  <c r="P177" i="2"/>
  <c r="P180" i="2" s="1"/>
  <c r="Q177" i="2"/>
  <c r="Q180" i="2" s="1"/>
  <c r="R177" i="2"/>
  <c r="R180" i="2" s="1"/>
  <c r="S33" i="1" s="1"/>
  <c r="S177" i="2"/>
  <c r="S180" i="2" s="1"/>
  <c r="S34" i="1" s="1"/>
  <c r="T177" i="2"/>
  <c r="T180" i="2" s="1"/>
  <c r="U177" i="2"/>
  <c r="U180" i="2" s="1"/>
  <c r="V177" i="2"/>
  <c r="V180" i="2" s="1"/>
  <c r="S48" i="1" s="1"/>
  <c r="W177" i="2"/>
  <c r="W180" i="2" s="1"/>
  <c r="S42" i="1" s="1"/>
  <c r="X177" i="2"/>
  <c r="X180" i="2" s="1"/>
  <c r="Y177" i="2"/>
  <c r="Y180" i="2" s="1"/>
  <c r="Z177" i="2"/>
  <c r="Z180" i="2" s="1"/>
  <c r="S46" i="1" s="1"/>
  <c r="B177" i="2"/>
  <c r="AE115" i="2"/>
  <c r="AE123" i="2"/>
  <c r="AD120" i="2"/>
  <c r="AC115" i="2"/>
  <c r="AC116" i="2"/>
  <c r="AC118" i="2"/>
  <c r="AC114" i="2"/>
  <c r="AB116" i="2"/>
  <c r="AB120" i="2"/>
  <c r="AB124" i="2"/>
  <c r="AB129" i="2"/>
  <c r="E130" i="2"/>
  <c r="C127" i="2"/>
  <c r="C130" i="2" s="1"/>
  <c r="K8" i="1" s="1"/>
  <c r="D127" i="2"/>
  <c r="D130" i="2" s="1"/>
  <c r="K9" i="1" s="1"/>
  <c r="F127" i="2"/>
  <c r="F130" i="2" s="1"/>
  <c r="K11" i="1" s="1"/>
  <c r="G127" i="2"/>
  <c r="G130" i="2" s="1"/>
  <c r="K15" i="1" s="1"/>
  <c r="H127" i="2"/>
  <c r="H130" i="2" s="1"/>
  <c r="K16" i="1" s="1"/>
  <c r="I127" i="2"/>
  <c r="I130" i="2" s="1"/>
  <c r="K17" i="1" s="1"/>
  <c r="J127" i="2"/>
  <c r="J130" i="2" s="1"/>
  <c r="K19" i="1" s="1"/>
  <c r="K127" i="2"/>
  <c r="K130" i="2" s="1"/>
  <c r="K18" i="1" s="1"/>
  <c r="L127" i="2"/>
  <c r="L130" i="2" s="1"/>
  <c r="K23" i="1" s="1"/>
  <c r="K24" i="1" s="1"/>
  <c r="M127" i="2"/>
  <c r="M130" i="2" s="1"/>
  <c r="K28" i="1" s="1"/>
  <c r="N127" i="2"/>
  <c r="N130" i="2" s="1"/>
  <c r="K29" i="1" s="1"/>
  <c r="O127" i="2"/>
  <c r="O130" i="2" s="1"/>
  <c r="K30" i="1" s="1"/>
  <c r="P127" i="2"/>
  <c r="P130" i="2" s="1"/>
  <c r="K31" i="1" s="1"/>
  <c r="Q127" i="2"/>
  <c r="Q130" i="2" s="1"/>
  <c r="K32" i="1" s="1"/>
  <c r="R127" i="2"/>
  <c r="R130" i="2" s="1"/>
  <c r="K33" i="1" s="1"/>
  <c r="S127" i="2"/>
  <c r="S130" i="2" s="1"/>
  <c r="K34" i="1" s="1"/>
  <c r="T127" i="2"/>
  <c r="U127" i="2"/>
  <c r="V127" i="2"/>
  <c r="V130" i="2" s="1"/>
  <c r="K48" i="1" s="1"/>
  <c r="W127" i="2"/>
  <c r="W130" i="2" s="1"/>
  <c r="K42" i="1" s="1"/>
  <c r="K43" i="1" s="1"/>
  <c r="X127" i="2"/>
  <c r="X130" i="2" s="1"/>
  <c r="K47" i="1" s="1"/>
  <c r="Y127" i="2"/>
  <c r="Y130" i="2" s="1"/>
  <c r="Z127" i="2"/>
  <c r="Z130" i="2" s="1"/>
  <c r="K46" i="1" s="1"/>
  <c r="B127" i="2"/>
  <c r="B130" i="2" s="1"/>
  <c r="K5" i="1" s="1"/>
  <c r="AE67" i="2"/>
  <c r="AE88" i="2"/>
  <c r="AG48" i="2"/>
  <c r="AD51" i="2"/>
  <c r="AG51" i="2" s="1"/>
  <c r="AD67" i="2"/>
  <c r="AG67" i="2" s="1"/>
  <c r="AD74" i="2"/>
  <c r="AG74" i="2" s="1"/>
  <c r="AC33" i="2"/>
  <c r="AC51" i="2"/>
  <c r="AC62" i="2"/>
  <c r="AC67" i="2"/>
  <c r="AC94" i="2"/>
  <c r="AC103" i="2"/>
  <c r="AB37" i="2"/>
  <c r="AB51" i="2"/>
  <c r="AB67" i="2"/>
  <c r="C104" i="2"/>
  <c r="C107" i="2" s="1"/>
  <c r="G8" i="1" s="1"/>
  <c r="D104" i="2"/>
  <c r="D107" i="2" s="1"/>
  <c r="G9" i="1" s="1"/>
  <c r="E104" i="2"/>
  <c r="E107" i="2" s="1"/>
  <c r="G10" i="1" s="1"/>
  <c r="F104" i="2"/>
  <c r="F107" i="2" s="1"/>
  <c r="G11" i="1" s="1"/>
  <c r="G104" i="2"/>
  <c r="G107" i="2" s="1"/>
  <c r="G15" i="1" s="1"/>
  <c r="H104" i="2"/>
  <c r="H107" i="2" s="1"/>
  <c r="G16" i="1" s="1"/>
  <c r="I104" i="2"/>
  <c r="I107" i="2" s="1"/>
  <c r="G17" i="1" s="1"/>
  <c r="J104" i="2"/>
  <c r="J107" i="2" s="1"/>
  <c r="G19" i="1" s="1"/>
  <c r="K104" i="2"/>
  <c r="K107" i="2" s="1"/>
  <c r="G18" i="1" s="1"/>
  <c r="L104" i="2"/>
  <c r="L107" i="2" s="1"/>
  <c r="G23" i="1" s="1"/>
  <c r="M104" i="2"/>
  <c r="M107" i="2" s="1"/>
  <c r="G28" i="1" s="1"/>
  <c r="N104" i="2"/>
  <c r="N107" i="2" s="1"/>
  <c r="G29" i="1" s="1"/>
  <c r="O104" i="2"/>
  <c r="O107" i="2" s="1"/>
  <c r="G30" i="1" s="1"/>
  <c r="P104" i="2"/>
  <c r="P107" i="2" s="1"/>
  <c r="G31" i="1" s="1"/>
  <c r="Q104" i="2"/>
  <c r="Q107" i="2" s="1"/>
  <c r="G32" i="1" s="1"/>
  <c r="R104" i="2"/>
  <c r="R107" i="2" s="1"/>
  <c r="G33" i="1" s="1"/>
  <c r="S104" i="2"/>
  <c r="S107" i="2" s="1"/>
  <c r="G34" i="1" s="1"/>
  <c r="T104" i="2"/>
  <c r="T107" i="2" s="1"/>
  <c r="G38" i="1" s="1"/>
  <c r="U104" i="2"/>
  <c r="V104" i="2"/>
  <c r="V107" i="2" s="1"/>
  <c r="G48" i="1" s="1"/>
  <c r="W104" i="2"/>
  <c r="W107" i="2" s="1"/>
  <c r="G42" i="1" s="1"/>
  <c r="G43" i="1" s="1"/>
  <c r="X104" i="2"/>
  <c r="X107" i="2" s="1"/>
  <c r="G47" i="1" s="1"/>
  <c r="Y104" i="2"/>
  <c r="Y107" i="2" s="1"/>
  <c r="Z104" i="2"/>
  <c r="Z107" i="2" s="1"/>
  <c r="G46" i="1" s="1"/>
  <c r="B104" i="2"/>
  <c r="B107" i="2" s="1"/>
  <c r="G5" i="1" s="1"/>
  <c r="AA5" i="2"/>
  <c r="AA6" i="2"/>
  <c r="AB6" i="2" s="1"/>
  <c r="AA7" i="2"/>
  <c r="AH7" i="2" s="1"/>
  <c r="AA8" i="2"/>
  <c r="AH8" i="2" s="1"/>
  <c r="AA9" i="2"/>
  <c r="AA10" i="2"/>
  <c r="AA11" i="2"/>
  <c r="AH11" i="2" s="1"/>
  <c r="AA12" i="2"/>
  <c r="AH12" i="2" s="1"/>
  <c r="AA13" i="2"/>
  <c r="AA15" i="2"/>
  <c r="AA16" i="2"/>
  <c r="AA17" i="2"/>
  <c r="AA18" i="2"/>
  <c r="AA19" i="2"/>
  <c r="AA20" i="2"/>
  <c r="AH20" i="2" s="1"/>
  <c r="AA22" i="2"/>
  <c r="AH22" i="2" s="1"/>
  <c r="AA4" i="2"/>
  <c r="C23" i="2"/>
  <c r="D23" i="2"/>
  <c r="D24" i="2" s="1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B23" i="2"/>
  <c r="C21" i="2"/>
  <c r="E21" i="2"/>
  <c r="E24" i="2" s="1"/>
  <c r="C10" i="1" s="1"/>
  <c r="F21" i="2"/>
  <c r="F24" i="2" s="1"/>
  <c r="C11" i="1" s="1"/>
  <c r="G21" i="2"/>
  <c r="G24" i="2" s="1"/>
  <c r="C15" i="1" s="1"/>
  <c r="H21" i="2"/>
  <c r="H24" i="2" s="1"/>
  <c r="C16" i="1" s="1"/>
  <c r="I21" i="2"/>
  <c r="I24" i="2" s="1"/>
  <c r="C17" i="1" s="1"/>
  <c r="J21" i="2"/>
  <c r="J24" i="2" s="1"/>
  <c r="C18" i="1" s="1"/>
  <c r="K21" i="2"/>
  <c r="K24" i="2" s="1"/>
  <c r="C19" i="1" s="1"/>
  <c r="L21" i="2"/>
  <c r="L24" i="2" s="1"/>
  <c r="C23" i="1" s="1"/>
  <c r="M21" i="2"/>
  <c r="M24" i="2" s="1"/>
  <c r="C28" i="1" s="1"/>
  <c r="N21" i="2"/>
  <c r="N24" i="2" s="1"/>
  <c r="C29" i="1" s="1"/>
  <c r="O21" i="2"/>
  <c r="O24" i="2" s="1"/>
  <c r="C30" i="1" s="1"/>
  <c r="P21" i="2"/>
  <c r="Q21" i="2"/>
  <c r="Q24" i="2" s="1"/>
  <c r="C32" i="1" s="1"/>
  <c r="R21" i="2"/>
  <c r="R24" i="2" s="1"/>
  <c r="C33" i="1" s="1"/>
  <c r="S21" i="2"/>
  <c r="S24" i="2" s="1"/>
  <c r="C34" i="1" s="1"/>
  <c r="T21" i="2"/>
  <c r="U21" i="2"/>
  <c r="V21" i="2"/>
  <c r="V24" i="2" s="1"/>
  <c r="C48" i="1" s="1"/>
  <c r="W21" i="2"/>
  <c r="W24" i="2" s="1"/>
  <c r="C42" i="1" s="1"/>
  <c r="X21" i="2"/>
  <c r="X24" i="2" s="1"/>
  <c r="C47" i="1" s="1"/>
  <c r="Y21" i="2"/>
  <c r="Y24" i="2" s="1"/>
  <c r="Z21" i="2"/>
  <c r="Z24" i="2" s="1"/>
  <c r="C46" i="1" s="1"/>
  <c r="B21" i="2"/>
  <c r="B24" i="2" s="1"/>
  <c r="C5" i="1" s="1"/>
  <c r="D30" i="1" s="1"/>
  <c r="AD123" i="2" l="1"/>
  <c r="AE116" i="2"/>
  <c r="AD116" i="2"/>
  <c r="AG116" i="2" s="1"/>
  <c r="AC99" i="2"/>
  <c r="AB96" i="2"/>
  <c r="AC96" i="2"/>
  <c r="AD60" i="2"/>
  <c r="AG60" i="2" s="1"/>
  <c r="L15" i="1"/>
  <c r="AB121" i="2"/>
  <c r="AB117" i="2"/>
  <c r="L46" i="1"/>
  <c r="AB60" i="2"/>
  <c r="AE60" i="2"/>
  <c r="AD119" i="2"/>
  <c r="AG119" i="2" s="1"/>
  <c r="AE119" i="2"/>
  <c r="AB119" i="2"/>
  <c r="AB115" i="2"/>
  <c r="AD115" i="2"/>
  <c r="AG115" i="2" s="1"/>
  <c r="AE114" i="2"/>
  <c r="AB89" i="2"/>
  <c r="AB53" i="2"/>
  <c r="AC53" i="2"/>
  <c r="AD43" i="2"/>
  <c r="AG43" i="2" s="1"/>
  <c r="AC78" i="2"/>
  <c r="AC74" i="2"/>
  <c r="AE44" i="2"/>
  <c r="AB74" i="2"/>
  <c r="AE74" i="2"/>
  <c r="L33" i="1"/>
  <c r="D34" i="1"/>
  <c r="AC85" i="2"/>
  <c r="AC31" i="2"/>
  <c r="AC76" i="2"/>
  <c r="AD31" i="2"/>
  <c r="AG31" i="2" s="1"/>
  <c r="AB88" i="2"/>
  <c r="AD96" i="2"/>
  <c r="AG96" i="2" s="1"/>
  <c r="AE31" i="2"/>
  <c r="AB31" i="2"/>
  <c r="AC80" i="2"/>
  <c r="AD88" i="2"/>
  <c r="AG88" i="2" s="1"/>
  <c r="AE96" i="2"/>
  <c r="L19" i="1"/>
  <c r="AB99" i="2"/>
  <c r="AC79" i="2"/>
  <c r="AE99" i="2"/>
  <c r="L24" i="1"/>
  <c r="AB45" i="2"/>
  <c r="AC45" i="2"/>
  <c r="AD99" i="2"/>
  <c r="AG99" i="2" s="1"/>
  <c r="AB41" i="2"/>
  <c r="AB75" i="2"/>
  <c r="AB61" i="2"/>
  <c r="AB36" i="2"/>
  <c r="AC90" i="2"/>
  <c r="AC36" i="2"/>
  <c r="L31" i="1"/>
  <c r="L43" i="1"/>
  <c r="L34" i="1"/>
  <c r="L30" i="1"/>
  <c r="L18" i="1"/>
  <c r="AD126" i="2"/>
  <c r="AG126" i="2" s="1"/>
  <c r="AE118" i="2"/>
  <c r="AB44" i="2"/>
  <c r="AD32" i="2"/>
  <c r="AG32" i="2" s="1"/>
  <c r="L11" i="1"/>
  <c r="O47" i="1"/>
  <c r="AB82" i="2"/>
  <c r="AB68" i="2"/>
  <c r="AB32" i="2"/>
  <c r="AC44" i="2"/>
  <c r="AC32" i="2"/>
  <c r="AD44" i="2"/>
  <c r="AG44" i="2" s="1"/>
  <c r="AE46" i="2"/>
  <c r="L8" i="1"/>
  <c r="AB35" i="2"/>
  <c r="AD86" i="2"/>
  <c r="AG86" i="2" s="1"/>
  <c r="AD71" i="2"/>
  <c r="AG71" i="2" s="1"/>
  <c r="AE86" i="2"/>
  <c r="AE71" i="2"/>
  <c r="AE57" i="2"/>
  <c r="AE122" i="2"/>
  <c r="AA23" i="2"/>
  <c r="AH23" i="2" s="1"/>
  <c r="AB106" i="2"/>
  <c r="AB86" i="2"/>
  <c r="AB71" i="2"/>
  <c r="AB57" i="2"/>
  <c r="AC100" i="2"/>
  <c r="AC65" i="2"/>
  <c r="AC43" i="2"/>
  <c r="AD92" i="2"/>
  <c r="AG92" i="2" s="1"/>
  <c r="AD53" i="2"/>
  <c r="AG53" i="2" s="1"/>
  <c r="AE100" i="2"/>
  <c r="AE85" i="2"/>
  <c r="AE78" i="2"/>
  <c r="AE64" i="2"/>
  <c r="AE56" i="2"/>
  <c r="AE43" i="2"/>
  <c r="AB126" i="2"/>
  <c r="AD118" i="2"/>
  <c r="AG118" i="2" s="1"/>
  <c r="AE126" i="2"/>
  <c r="L16" i="1"/>
  <c r="L29" i="1"/>
  <c r="L48" i="1"/>
  <c r="AB43" i="2"/>
  <c r="AC89" i="2"/>
  <c r="AC82" i="2"/>
  <c r="AC71" i="2"/>
  <c r="AC61" i="2"/>
  <c r="AD93" i="2"/>
  <c r="AG93" i="2" s="1"/>
  <c r="AD79" i="2"/>
  <c r="AG79" i="2" s="1"/>
  <c r="AD65" i="2"/>
  <c r="AG65" i="2" s="1"/>
  <c r="AD46" i="2"/>
  <c r="AG46" i="2" s="1"/>
  <c r="AD39" i="2"/>
  <c r="AG39" i="2" s="1"/>
  <c r="AE93" i="2"/>
  <c r="AE79" i="2"/>
  <c r="AE65" i="2"/>
  <c r="L17" i="1"/>
  <c r="L42" i="1"/>
  <c r="AB93" i="2"/>
  <c r="AB79" i="2"/>
  <c r="AB65" i="2"/>
  <c r="AB46" i="2"/>
  <c r="AC93" i="2"/>
  <c r="AC88" i="2"/>
  <c r="AC60" i="2"/>
  <c r="AC35" i="2"/>
  <c r="AD100" i="2"/>
  <c r="AG100" i="2" s="1"/>
  <c r="AD85" i="2"/>
  <c r="AG85" i="2" s="1"/>
  <c r="AD78" i="2"/>
  <c r="AG78" i="2" s="1"/>
  <c r="AD64" i="2"/>
  <c r="AG64" i="2" s="1"/>
  <c r="AE92" i="2"/>
  <c r="D47" i="1"/>
  <c r="L23" i="1"/>
  <c r="D33" i="1"/>
  <c r="D11" i="1"/>
  <c r="AB100" i="2"/>
  <c r="AB92" i="2"/>
  <c r="AB85" i="2"/>
  <c r="AB78" i="2"/>
  <c r="AB64" i="2"/>
  <c r="AC92" i="2"/>
  <c r="AC86" i="2"/>
  <c r="AC75" i="2"/>
  <c r="AC68" i="2"/>
  <c r="AC64" i="2"/>
  <c r="AC57" i="2"/>
  <c r="AC46" i="2"/>
  <c r="AD89" i="2"/>
  <c r="AG89" i="2" s="1"/>
  <c r="AD82" i="2"/>
  <c r="AG82" i="2" s="1"/>
  <c r="AD75" i="2"/>
  <c r="AG75" i="2" s="1"/>
  <c r="AD68" i="2"/>
  <c r="AG68" i="2" s="1"/>
  <c r="AD61" i="2"/>
  <c r="AG61" i="2" s="1"/>
  <c r="AD35" i="2"/>
  <c r="AG35" i="2" s="1"/>
  <c r="AE89" i="2"/>
  <c r="AE82" i="2"/>
  <c r="AE75" i="2"/>
  <c r="AE68" i="2"/>
  <c r="AE61" i="2"/>
  <c r="AE53" i="2"/>
  <c r="AE35" i="2"/>
  <c r="AB122" i="2"/>
  <c r="AB118" i="2"/>
  <c r="C24" i="2"/>
  <c r="C8" i="1" s="1"/>
  <c r="D8" i="1" s="1"/>
  <c r="D42" i="1"/>
  <c r="L32" i="1"/>
  <c r="D46" i="1"/>
  <c r="D48" i="1"/>
  <c r="D23" i="1"/>
  <c r="D28" i="1"/>
  <c r="AE103" i="2"/>
  <c r="AB103" i="2"/>
  <c r="AD103" i="2"/>
  <c r="AG103" i="2" s="1"/>
  <c r="O29" i="1"/>
  <c r="W29" i="1" s="1"/>
  <c r="D29" i="1"/>
  <c r="S43" i="1"/>
  <c r="O18" i="1"/>
  <c r="W18" i="1" s="1"/>
  <c r="D18" i="1"/>
  <c r="D15" i="1"/>
  <c r="AD8" i="2"/>
  <c r="AG8" i="2" s="1"/>
  <c r="AE7" i="2"/>
  <c r="L47" i="1"/>
  <c r="AA177" i="2"/>
  <c r="AB177" i="2" s="1"/>
  <c r="AD7" i="2"/>
  <c r="AG7" i="2" s="1"/>
  <c r="D19" i="1"/>
  <c r="AC8" i="2"/>
  <c r="AE11" i="2"/>
  <c r="B180" i="2"/>
  <c r="S5" i="1" s="1"/>
  <c r="T10" i="1" s="1"/>
  <c r="O11" i="1"/>
  <c r="W11" i="1" s="1"/>
  <c r="AB22" i="2"/>
  <c r="AD11" i="2"/>
  <c r="AG11" i="2" s="1"/>
  <c r="AE8" i="2"/>
  <c r="L9" i="1"/>
  <c r="H46" i="1"/>
  <c r="H31" i="1"/>
  <c r="H19" i="1"/>
  <c r="H10" i="1"/>
  <c r="H29" i="1"/>
  <c r="H8" i="1"/>
  <c r="H42" i="1"/>
  <c r="H11" i="1"/>
  <c r="H34" i="1"/>
  <c r="H30" i="1"/>
  <c r="H18" i="1"/>
  <c r="H9" i="1"/>
  <c r="H17" i="1"/>
  <c r="H33" i="1"/>
  <c r="H47" i="1"/>
  <c r="H32" i="1"/>
  <c r="H48" i="1"/>
  <c r="H16" i="1"/>
  <c r="H28" i="1"/>
  <c r="AC50" i="2"/>
  <c r="AB50" i="2"/>
  <c r="AD50" i="2"/>
  <c r="AG50" i="2" s="1"/>
  <c r="AE50" i="2"/>
  <c r="AB39" i="2"/>
  <c r="AC39" i="2"/>
  <c r="AE39" i="2"/>
  <c r="AB40" i="2"/>
  <c r="AC40" i="2"/>
  <c r="AC47" i="2"/>
  <c r="AB47" i="2"/>
  <c r="AA104" i="2"/>
  <c r="AA107" i="2" s="1"/>
  <c r="L155" i="4" s="1"/>
  <c r="M155" i="4" s="1"/>
  <c r="F155" i="6" s="1"/>
  <c r="AC56" i="2"/>
  <c r="AB56" i="2"/>
  <c r="AG56" i="2"/>
  <c r="G20" i="1"/>
  <c r="H20" i="1" s="1"/>
  <c r="H15" i="1"/>
  <c r="AD57" i="2"/>
  <c r="AG57" i="2" s="1"/>
  <c r="O17" i="1"/>
  <c r="D17" i="1"/>
  <c r="U24" i="2"/>
  <c r="C39" i="1" s="1"/>
  <c r="O28" i="1"/>
  <c r="D10" i="1"/>
  <c r="H38" i="1"/>
  <c r="G24" i="1"/>
  <c r="H23" i="1"/>
  <c r="O32" i="1"/>
  <c r="AH13" i="2"/>
  <c r="AC13" i="2"/>
  <c r="AE13" i="2"/>
  <c r="AD13" i="2"/>
  <c r="AG13" i="2" s="1"/>
  <c r="AB13" i="2"/>
  <c r="AH9" i="2"/>
  <c r="AC9" i="2"/>
  <c r="AE9" i="2"/>
  <c r="AD9" i="2"/>
  <c r="AG9" i="2" s="1"/>
  <c r="AH5" i="2"/>
  <c r="AC5" i="2"/>
  <c r="AE5" i="2"/>
  <c r="AD5" i="2"/>
  <c r="AG5" i="2" s="1"/>
  <c r="AB5" i="2"/>
  <c r="K35" i="1"/>
  <c r="L28" i="1"/>
  <c r="S47" i="1"/>
  <c r="S49" i="1" s="1"/>
  <c r="X182" i="2"/>
  <c r="S38" i="1"/>
  <c r="S31" i="1"/>
  <c r="S23" i="1"/>
  <c r="L182" i="2"/>
  <c r="S16" i="1"/>
  <c r="H182" i="2"/>
  <c r="H43" i="1"/>
  <c r="D32" i="1"/>
  <c r="AB9" i="2"/>
  <c r="T24" i="2"/>
  <c r="C38" i="1" s="1"/>
  <c r="C31" i="1"/>
  <c r="C35" i="1" s="1"/>
  <c r="P24" i="2"/>
  <c r="P182" i="2" s="1"/>
  <c r="C24" i="1"/>
  <c r="O23" i="1"/>
  <c r="O16" i="1"/>
  <c r="D182" i="2"/>
  <c r="C9" i="1"/>
  <c r="D16" i="1"/>
  <c r="O5" i="1"/>
  <c r="O42" i="1"/>
  <c r="C43" i="1"/>
  <c r="D43" i="1" s="1"/>
  <c r="O34" i="1"/>
  <c r="O30" i="1"/>
  <c r="O19" i="1"/>
  <c r="C20" i="1"/>
  <c r="O15" i="1"/>
  <c r="G12" i="1"/>
  <c r="K20" i="1"/>
  <c r="O46" i="1"/>
  <c r="O33" i="1"/>
  <c r="AH4" i="2"/>
  <c r="AA21" i="2"/>
  <c r="AB21" i="2" s="1"/>
  <c r="AC4" i="2"/>
  <c r="AE4" i="2"/>
  <c r="AD4" i="2"/>
  <c r="AG4" i="2" s="1"/>
  <c r="AH19" i="2"/>
  <c r="AB19" i="2"/>
  <c r="AC19" i="2"/>
  <c r="AE19" i="2"/>
  <c r="AD19" i="2"/>
  <c r="AG19" i="2" s="1"/>
  <c r="AH10" i="2"/>
  <c r="AE10" i="2"/>
  <c r="AD10" i="2"/>
  <c r="AG10" i="2" s="1"/>
  <c r="AC10" i="2"/>
  <c r="AH6" i="2"/>
  <c r="AE6" i="2"/>
  <c r="AD6" i="2"/>
  <c r="AG6" i="2" s="1"/>
  <c r="AC6" i="2"/>
  <c r="AB10" i="2"/>
  <c r="U107" i="2"/>
  <c r="G39" i="1" s="1"/>
  <c r="G35" i="1"/>
  <c r="K49" i="1"/>
  <c r="Y182" i="2"/>
  <c r="S39" i="1"/>
  <c r="S32" i="1"/>
  <c r="Q182" i="2"/>
  <c r="S28" i="1"/>
  <c r="M182" i="2"/>
  <c r="S17" i="1"/>
  <c r="I182" i="2"/>
  <c r="C49" i="1"/>
  <c r="O48" i="1"/>
  <c r="AB4" i="2"/>
  <c r="G49" i="1"/>
  <c r="AB11" i="2"/>
  <c r="AB7" i="2"/>
  <c r="AB20" i="2"/>
  <c r="AC20" i="2"/>
  <c r="AE40" i="2"/>
  <c r="AH40" i="2"/>
  <c r="AE36" i="2"/>
  <c r="AH36" i="2"/>
  <c r="AE51" i="2"/>
  <c r="AH51" i="2"/>
  <c r="AE47" i="2"/>
  <c r="AH47" i="2"/>
  <c r="W182" i="2"/>
  <c r="S182" i="2"/>
  <c r="O182" i="2"/>
  <c r="K182" i="2"/>
  <c r="G182" i="2"/>
  <c r="U130" i="2"/>
  <c r="K39" i="1" s="1"/>
  <c r="K10" i="1"/>
  <c r="O10" i="1" s="1"/>
  <c r="S12" i="1"/>
  <c r="AA127" i="2"/>
  <c r="AE127" i="2" s="1"/>
  <c r="Z182" i="2"/>
  <c r="V182" i="2"/>
  <c r="R182" i="2"/>
  <c r="N182" i="2"/>
  <c r="J182" i="2"/>
  <c r="F182" i="2"/>
  <c r="T130" i="2"/>
  <c r="AD42" i="2"/>
  <c r="AG42" i="2" s="1"/>
  <c r="AH42" i="2"/>
  <c r="AC38" i="2"/>
  <c r="AH38" i="2"/>
  <c r="AC34" i="2"/>
  <c r="AH34" i="2"/>
  <c r="AB105" i="2"/>
  <c r="AH105" i="2"/>
  <c r="AB114" i="2"/>
  <c r="AH114" i="2"/>
  <c r="AB12" i="2"/>
  <c r="AB8" i="2"/>
  <c r="AC11" i="2"/>
  <c r="AC7" i="2"/>
  <c r="AD20" i="2"/>
  <c r="AG20" i="2" s="1"/>
  <c r="AE20" i="2"/>
  <c r="AE45" i="2"/>
  <c r="AH45" i="2"/>
  <c r="AD37" i="2"/>
  <c r="AG37" i="2" s="1"/>
  <c r="AH37" i="2"/>
  <c r="AD33" i="2"/>
  <c r="AG33" i="2" s="1"/>
  <c r="AH33" i="2"/>
  <c r="AE125" i="2"/>
  <c r="AH125" i="2"/>
  <c r="J47" i="5"/>
  <c r="F47" i="5"/>
  <c r="G159" i="5"/>
  <c r="F159" i="5" s="1"/>
  <c r="F160" i="5" s="1"/>
  <c r="H47" i="5"/>
  <c r="E159" i="5"/>
  <c r="D159" i="5" s="1"/>
  <c r="D47" i="5"/>
  <c r="I159" i="5"/>
  <c r="H159" i="5" s="1"/>
  <c r="H160" i="5" s="1"/>
  <c r="E182" i="2"/>
  <c r="AD125" i="2"/>
  <c r="AG125" i="2" s="1"/>
  <c r="AD121" i="2"/>
  <c r="AC102" i="2"/>
  <c r="AE102" i="2"/>
  <c r="AB102" i="2"/>
  <c r="AC98" i="2"/>
  <c r="AE98" i="2"/>
  <c r="AB98" i="2"/>
  <c r="AC95" i="2"/>
  <c r="AE95" i="2"/>
  <c r="AB95" i="2"/>
  <c r="AC91" i="2"/>
  <c r="AE91" i="2"/>
  <c r="AB91" i="2"/>
  <c r="AC84" i="2"/>
  <c r="AE84" i="2"/>
  <c r="AB84" i="2"/>
  <c r="AC81" i="2"/>
  <c r="AE81" i="2"/>
  <c r="AB81" i="2"/>
  <c r="AC77" i="2"/>
  <c r="AE77" i="2"/>
  <c r="AB77" i="2"/>
  <c r="AC73" i="2"/>
  <c r="AE73" i="2"/>
  <c r="AB73" i="2"/>
  <c r="AC70" i="2"/>
  <c r="AE70" i="2"/>
  <c r="AB70" i="2"/>
  <c r="AC66" i="2"/>
  <c r="AE66" i="2"/>
  <c r="AB66" i="2"/>
  <c r="AC63" i="2"/>
  <c r="AE63" i="2"/>
  <c r="AB63" i="2"/>
  <c r="AC59" i="2"/>
  <c r="AE59" i="2"/>
  <c r="AB59" i="2"/>
  <c r="AD52" i="2"/>
  <c r="AG52" i="2" s="1"/>
  <c r="AC52" i="2"/>
  <c r="AB52" i="2"/>
  <c r="AD49" i="2"/>
  <c r="AG49" i="2" s="1"/>
  <c r="AC49" i="2"/>
  <c r="AB49" i="2"/>
  <c r="AE52" i="2"/>
  <c r="AE101" i="2"/>
  <c r="AB101" i="2"/>
  <c r="AE97" i="2"/>
  <c r="AB97" i="2"/>
  <c r="AE94" i="2"/>
  <c r="AB94" i="2"/>
  <c r="AE90" i="2"/>
  <c r="AB90" i="2"/>
  <c r="AE87" i="2"/>
  <c r="AB87" i="2"/>
  <c r="AE83" i="2"/>
  <c r="AB83" i="2"/>
  <c r="AE80" i="2"/>
  <c r="AB80" i="2"/>
  <c r="AE76" i="2"/>
  <c r="AB76" i="2"/>
  <c r="AE72" i="2"/>
  <c r="AB72" i="2"/>
  <c r="AE69" i="2"/>
  <c r="AB69" i="2"/>
  <c r="AE62" i="2"/>
  <c r="AB62" i="2"/>
  <c r="AE58" i="2"/>
  <c r="AB58" i="2"/>
  <c r="AC54" i="2"/>
  <c r="AB54" i="2"/>
  <c r="AE54" i="2"/>
  <c r="AB48" i="2"/>
  <c r="AC97" i="2"/>
  <c r="AC83" i="2"/>
  <c r="AC69" i="2"/>
  <c r="AD102" i="2"/>
  <c r="AG102" i="2" s="1"/>
  <c r="AD98" i="2"/>
  <c r="AG98" i="2" s="1"/>
  <c r="AD95" i="2"/>
  <c r="AG95" i="2" s="1"/>
  <c r="AD91" i="2"/>
  <c r="AG91" i="2" s="1"/>
  <c r="AD84" i="2"/>
  <c r="AG84" i="2" s="1"/>
  <c r="AD81" i="2"/>
  <c r="AG81" i="2" s="1"/>
  <c r="AD77" i="2"/>
  <c r="AG77" i="2" s="1"/>
  <c r="AD73" i="2"/>
  <c r="AG73" i="2" s="1"/>
  <c r="AD70" i="2"/>
  <c r="AG70" i="2" s="1"/>
  <c r="AD66" i="2"/>
  <c r="AG66" i="2" s="1"/>
  <c r="AD63" i="2"/>
  <c r="AG63" i="2" s="1"/>
  <c r="AD59" i="2"/>
  <c r="AG59" i="2" s="1"/>
  <c r="AD54" i="2"/>
  <c r="AG54" i="2" s="1"/>
  <c r="AC101" i="2"/>
  <c r="AC87" i="2"/>
  <c r="AC72" i="2"/>
  <c r="AC58" i="2"/>
  <c r="AD101" i="2"/>
  <c r="AG101" i="2" s="1"/>
  <c r="AD97" i="2"/>
  <c r="AG97" i="2" s="1"/>
  <c r="AD94" i="2"/>
  <c r="AG94" i="2" s="1"/>
  <c r="AD90" i="2"/>
  <c r="AG90" i="2" s="1"/>
  <c r="AD87" i="2"/>
  <c r="AG87" i="2" s="1"/>
  <c r="AD83" i="2"/>
  <c r="AG83" i="2" s="1"/>
  <c r="AD80" i="2"/>
  <c r="AG80" i="2" s="1"/>
  <c r="AD76" i="2"/>
  <c r="AG76" i="2" s="1"/>
  <c r="AD72" i="2"/>
  <c r="AG72" i="2" s="1"/>
  <c r="AD69" i="2"/>
  <c r="AG69" i="2" s="1"/>
  <c r="AD62" i="2"/>
  <c r="AG62" i="2" s="1"/>
  <c r="AD58" i="2"/>
  <c r="AG58" i="2" s="1"/>
  <c r="AE49" i="2"/>
  <c r="AE38" i="2"/>
  <c r="AE34" i="2"/>
  <c r="AD38" i="2"/>
  <c r="AG38" i="2" s="1"/>
  <c r="AD34" i="2"/>
  <c r="AG34" i="2" s="1"/>
  <c r="AE42" i="2"/>
  <c r="AE37" i="2"/>
  <c r="AE33" i="2"/>
  <c r="AB42" i="2"/>
  <c r="AB38" i="2"/>
  <c r="AB34" i="2"/>
  <c r="AE32" i="2"/>
  <c r="AA180" i="2" l="1"/>
  <c r="AB23" i="2"/>
  <c r="AB127" i="2"/>
  <c r="T17" i="1"/>
  <c r="P47" i="1"/>
  <c r="O8" i="1"/>
  <c r="P8" i="1" s="1"/>
  <c r="W47" i="1"/>
  <c r="C182" i="2"/>
  <c r="T12" i="1"/>
  <c r="S20" i="1"/>
  <c r="T20" i="1" s="1"/>
  <c r="B182" i="2"/>
  <c r="C12" i="1"/>
  <c r="D12" i="1" s="1"/>
  <c r="T9" i="1"/>
  <c r="AD127" i="2"/>
  <c r="AG127" i="2" s="1"/>
  <c r="T16" i="1"/>
  <c r="AC127" i="2"/>
  <c r="T11" i="1"/>
  <c r="T33" i="1"/>
  <c r="T8" i="1"/>
  <c r="T48" i="1"/>
  <c r="T15" i="1"/>
  <c r="T19" i="1"/>
  <c r="T18" i="1"/>
  <c r="T43" i="1"/>
  <c r="K12" i="1"/>
  <c r="L12" i="1" s="1"/>
  <c r="T29" i="1"/>
  <c r="T30" i="1"/>
  <c r="T46" i="1"/>
  <c r="T34" i="1"/>
  <c r="T42" i="1"/>
  <c r="AB104" i="2"/>
  <c r="AD107" i="2"/>
  <c r="AE104" i="2"/>
  <c r="F4" i="5"/>
  <c r="L112" i="4"/>
  <c r="M112" i="4" s="1"/>
  <c r="F112" i="6" s="1"/>
  <c r="AH104" i="2"/>
  <c r="AD104" i="2"/>
  <c r="AG104" i="2" s="1"/>
  <c r="L125" i="4"/>
  <c r="L126" i="4" s="1"/>
  <c r="AB107" i="2"/>
  <c r="AC104" i="2"/>
  <c r="T182" i="2"/>
  <c r="AE21" i="2"/>
  <c r="W10" i="1"/>
  <c r="P10" i="1"/>
  <c r="T32" i="1"/>
  <c r="O20" i="1"/>
  <c r="P20" i="1" s="1"/>
  <c r="W15" i="1"/>
  <c r="P15" i="1"/>
  <c r="W23" i="1"/>
  <c r="O24" i="1"/>
  <c r="P24" i="1" s="1"/>
  <c r="P23" i="1"/>
  <c r="O39" i="1"/>
  <c r="D39" i="1"/>
  <c r="W48" i="1"/>
  <c r="P48" i="1"/>
  <c r="U182" i="2"/>
  <c r="H35" i="1"/>
  <c r="L20" i="1"/>
  <c r="D20" i="1"/>
  <c r="D35" i="1"/>
  <c r="W5" i="1"/>
  <c r="P18" i="1"/>
  <c r="P29" i="1"/>
  <c r="P11" i="1"/>
  <c r="W8" i="1"/>
  <c r="D24" i="1"/>
  <c r="C40" i="1"/>
  <c r="D38" i="1"/>
  <c r="S24" i="1"/>
  <c r="T24" i="1" s="1"/>
  <c r="T23" i="1"/>
  <c r="S40" i="1"/>
  <c r="T38" i="1"/>
  <c r="L35" i="1"/>
  <c r="AD21" i="2"/>
  <c r="AG21" i="2" s="1"/>
  <c r="L39" i="1"/>
  <c r="L49" i="1"/>
  <c r="W46" i="1"/>
  <c r="O49" i="1"/>
  <c r="P46" i="1"/>
  <c r="W34" i="1"/>
  <c r="P34" i="1"/>
  <c r="W32" i="1"/>
  <c r="P32" i="1"/>
  <c r="T49" i="1"/>
  <c r="L10" i="1"/>
  <c r="H49" i="1"/>
  <c r="D49" i="1"/>
  <c r="S35" i="1"/>
  <c r="T28" i="1"/>
  <c r="T39" i="1"/>
  <c r="H39" i="1"/>
  <c r="W19" i="1"/>
  <c r="P19" i="1"/>
  <c r="AC21" i="2"/>
  <c r="AA24" i="2"/>
  <c r="G40" i="1"/>
  <c r="G51" i="1" s="1"/>
  <c r="AH21" i="2"/>
  <c r="K38" i="1"/>
  <c r="O38" i="1" s="1"/>
  <c r="AC130" i="2"/>
  <c r="AA130" i="2"/>
  <c r="AD130" i="2" s="1"/>
  <c r="W33" i="1"/>
  <c r="P33" i="1"/>
  <c r="H12" i="1"/>
  <c r="W30" i="1"/>
  <c r="P30" i="1"/>
  <c r="W42" i="1"/>
  <c r="O43" i="1"/>
  <c r="P42" i="1"/>
  <c r="O9" i="1"/>
  <c r="D9" i="1"/>
  <c r="W16" i="1"/>
  <c r="P16" i="1"/>
  <c r="O31" i="1"/>
  <c r="O35" i="1" s="1"/>
  <c r="D31" i="1"/>
  <c r="T31" i="1"/>
  <c r="T47" i="1"/>
  <c r="H24" i="1"/>
  <c r="W28" i="1"/>
  <c r="P28" i="1"/>
  <c r="W17" i="1"/>
  <c r="P17" i="1"/>
  <c r="D160" i="5"/>
  <c r="H48" i="5"/>
  <c r="F48" i="5"/>
  <c r="D48" i="5"/>
  <c r="J48" i="5"/>
  <c r="AE107" i="2"/>
  <c r="AC107" i="2"/>
  <c r="H80" i="5"/>
  <c r="F80" i="5"/>
  <c r="D80" i="5"/>
  <c r="F6" i="5"/>
  <c r="D6" i="5"/>
  <c r="J80" i="5"/>
  <c r="H6" i="5"/>
  <c r="J6" i="5"/>
  <c r="M164" i="5"/>
  <c r="L164" i="5"/>
  <c r="J4" i="5" l="1"/>
  <c r="AB180" i="2"/>
  <c r="AE130" i="2"/>
  <c r="AB130" i="2"/>
  <c r="M125" i="4"/>
  <c r="F125" i="6" s="1"/>
  <c r="O40" i="1"/>
  <c r="W38" i="1"/>
  <c r="P38" i="1"/>
  <c r="I48" i="1"/>
  <c r="I18" i="1"/>
  <c r="H51" i="1"/>
  <c r="I46" i="1"/>
  <c r="I32" i="1"/>
  <c r="I19" i="1"/>
  <c r="I11" i="1"/>
  <c r="I17" i="1"/>
  <c r="I10" i="1"/>
  <c r="I30" i="1"/>
  <c r="I34" i="1"/>
  <c r="I29" i="1"/>
  <c r="I23" i="1"/>
  <c r="I16" i="1"/>
  <c r="I47" i="1"/>
  <c r="I38" i="1"/>
  <c r="I33" i="1"/>
  <c r="I28" i="1"/>
  <c r="I20" i="1"/>
  <c r="I15" i="1"/>
  <c r="I42" i="1"/>
  <c r="I8" i="1"/>
  <c r="I43" i="1"/>
  <c r="I9" i="1"/>
  <c r="I31" i="1"/>
  <c r="W43" i="1"/>
  <c r="X42" i="1"/>
  <c r="X33" i="1"/>
  <c r="D40" i="1"/>
  <c r="C51" i="1"/>
  <c r="E40" i="1" s="1"/>
  <c r="X18" i="1"/>
  <c r="T5" i="1"/>
  <c r="H5" i="1"/>
  <c r="D5" i="1"/>
  <c r="X5" i="1"/>
  <c r="X29" i="1"/>
  <c r="L5" i="1"/>
  <c r="X11" i="1"/>
  <c r="I35" i="1"/>
  <c r="X17" i="1"/>
  <c r="P35" i="1"/>
  <c r="X16" i="1"/>
  <c r="I12" i="1"/>
  <c r="L113" i="4"/>
  <c r="M113" i="4" s="1"/>
  <c r="H113" i="6" s="1"/>
  <c r="L135" i="4"/>
  <c r="H4" i="5"/>
  <c r="L156" i="4"/>
  <c r="M156" i="4" s="1"/>
  <c r="H156" i="6" s="1"/>
  <c r="H158" i="6" s="1"/>
  <c r="B54" i="14" s="1"/>
  <c r="L138" i="4"/>
  <c r="L157" i="4" s="1"/>
  <c r="I40" i="1"/>
  <c r="H40" i="1"/>
  <c r="I39" i="1"/>
  <c r="I49" i="1"/>
  <c r="P49" i="1"/>
  <c r="X8" i="1"/>
  <c r="P5" i="1"/>
  <c r="W39" i="1"/>
  <c r="P39" i="1"/>
  <c r="X28" i="1"/>
  <c r="W9" i="1"/>
  <c r="P9" i="1"/>
  <c r="X48" i="1"/>
  <c r="X47" i="1"/>
  <c r="I24" i="1"/>
  <c r="AE24" i="2"/>
  <c r="L160" i="4"/>
  <c r="M160" i="4" s="1"/>
  <c r="D160" i="6" s="1"/>
  <c r="L119" i="4"/>
  <c r="D4" i="5"/>
  <c r="L106" i="4"/>
  <c r="AD24" i="2"/>
  <c r="AB24" i="2"/>
  <c r="AC24" i="2"/>
  <c r="T35" i="1"/>
  <c r="X34" i="1"/>
  <c r="W49" i="1"/>
  <c r="X46" i="1"/>
  <c r="O12" i="1"/>
  <c r="S51" i="1"/>
  <c r="U40" i="1" s="1"/>
  <c r="W20" i="1"/>
  <c r="X20" i="1" s="1"/>
  <c r="X15" i="1"/>
  <c r="W24" i="1"/>
  <c r="X24" i="1" s="1"/>
  <c r="X23" i="1"/>
  <c r="W31" i="1"/>
  <c r="P31" i="1"/>
  <c r="P43" i="1"/>
  <c r="X30" i="1"/>
  <c r="K40" i="1"/>
  <c r="L38" i="1"/>
  <c r="X19" i="1"/>
  <c r="AA182" i="2"/>
  <c r="X32" i="1"/>
  <c r="T40" i="1"/>
  <c r="L128" i="4"/>
  <c r="X10" i="1"/>
  <c r="J49" i="5"/>
  <c r="D49" i="5"/>
  <c r="H49" i="5"/>
  <c r="F49" i="5"/>
  <c r="G142" i="5"/>
  <c r="F142" i="5" s="1"/>
  <c r="D81" i="5"/>
  <c r="H7" i="5"/>
  <c r="G107" i="5"/>
  <c r="F107" i="5" s="1"/>
  <c r="J81" i="5"/>
  <c r="F81" i="5"/>
  <c r="J7" i="5"/>
  <c r="F7" i="5"/>
  <c r="E107" i="5"/>
  <c r="D107" i="5" s="1"/>
  <c r="D7" i="5"/>
  <c r="H81" i="5"/>
  <c r="E142" i="5"/>
  <c r="D142" i="5" s="1"/>
  <c r="X9" i="1" l="1"/>
  <c r="E116" i="5"/>
  <c r="D116" i="5" s="1"/>
  <c r="E5" i="5"/>
  <c r="D5" i="5" s="1"/>
  <c r="E140" i="5"/>
  <c r="E105" i="5"/>
  <c r="D105" i="5" s="1"/>
  <c r="G116" i="5"/>
  <c r="F116" i="5" s="1"/>
  <c r="G140" i="5"/>
  <c r="F140" i="5" s="1"/>
  <c r="G105" i="5"/>
  <c r="F105" i="5" s="1"/>
  <c r="G5" i="5"/>
  <c r="F5" i="5" s="1"/>
  <c r="K5" i="5"/>
  <c r="J5" i="5" s="1"/>
  <c r="X31" i="1"/>
  <c r="W35" i="1"/>
  <c r="L6" i="4"/>
  <c r="L7" i="4" s="1"/>
  <c r="L8" i="4" s="1"/>
  <c r="AB182" i="2"/>
  <c r="L40" i="1"/>
  <c r="K51" i="1"/>
  <c r="M40" i="1" s="1"/>
  <c r="H160" i="6"/>
  <c r="H161" i="6" s="1"/>
  <c r="B55" i="14" s="1"/>
  <c r="F160" i="6"/>
  <c r="F161" i="6" s="1"/>
  <c r="B41" i="14" s="1"/>
  <c r="D161" i="6"/>
  <c r="B27" i="14" s="1"/>
  <c r="E46" i="1"/>
  <c r="E19" i="1"/>
  <c r="E15" i="1"/>
  <c r="D51" i="1"/>
  <c r="E42" i="1"/>
  <c r="E43" i="1" s="1"/>
  <c r="E34" i="1"/>
  <c r="E29" i="1"/>
  <c r="E18" i="1"/>
  <c r="E11" i="1"/>
  <c r="E33" i="1"/>
  <c r="E10" i="1"/>
  <c r="E48" i="1"/>
  <c r="E16" i="1"/>
  <c r="E23" i="1"/>
  <c r="E8" i="1"/>
  <c r="E47" i="1"/>
  <c r="E30" i="1"/>
  <c r="E32" i="1"/>
  <c r="E17" i="1"/>
  <c r="E28" i="1"/>
  <c r="E39" i="1"/>
  <c r="E20" i="1"/>
  <c r="E24" i="1"/>
  <c r="E38" i="1"/>
  <c r="E9" i="1"/>
  <c r="E49" i="1"/>
  <c r="E35" i="1"/>
  <c r="E12" i="1"/>
  <c r="E31" i="1"/>
  <c r="W40" i="1"/>
  <c r="X38" i="1"/>
  <c r="P12" i="1"/>
  <c r="O51" i="1"/>
  <c r="Q12" i="1" s="1"/>
  <c r="X39" i="1"/>
  <c r="I5" i="5"/>
  <c r="H5" i="5" s="1"/>
  <c r="I116" i="5"/>
  <c r="H116" i="5" s="1"/>
  <c r="L129" i="4"/>
  <c r="M128" i="4"/>
  <c r="F128" i="6" s="1"/>
  <c r="L123" i="4"/>
  <c r="L120" i="4"/>
  <c r="L122" i="4"/>
  <c r="M122" i="4" s="1"/>
  <c r="D122" i="6" s="1"/>
  <c r="M119" i="4"/>
  <c r="D119" i="6" s="1"/>
  <c r="L137" i="4"/>
  <c r="M137" i="4" s="1"/>
  <c r="H137" i="6" s="1"/>
  <c r="M135" i="4"/>
  <c r="H135" i="6" s="1"/>
  <c r="X43" i="1"/>
  <c r="U46" i="1"/>
  <c r="U34" i="1"/>
  <c r="U30" i="1"/>
  <c r="T51" i="1"/>
  <c r="U42" i="1"/>
  <c r="U33" i="1"/>
  <c r="U48" i="1"/>
  <c r="U43" i="1"/>
  <c r="U29" i="1"/>
  <c r="U49" i="1"/>
  <c r="U38" i="1"/>
  <c r="U39" i="1"/>
  <c r="U47" i="1"/>
  <c r="U32" i="1"/>
  <c r="U28" i="1"/>
  <c r="U31" i="1"/>
  <c r="X49" i="1"/>
  <c r="U35" i="1"/>
  <c r="L107" i="4"/>
  <c r="M106" i="4"/>
  <c r="W12" i="1"/>
  <c r="I51" i="1"/>
  <c r="P40" i="1"/>
  <c r="F50" i="5"/>
  <c r="D50" i="5"/>
  <c r="H50" i="5"/>
  <c r="J50" i="5"/>
  <c r="J82" i="5"/>
  <c r="H82" i="5"/>
  <c r="G108" i="5"/>
  <c r="F108" i="5" s="1"/>
  <c r="D8" i="5"/>
  <c r="F8" i="5"/>
  <c r="J8" i="5"/>
  <c r="H8" i="5"/>
  <c r="F82" i="5"/>
  <c r="G143" i="5"/>
  <c r="E143" i="5"/>
  <c r="D82" i="5"/>
  <c r="E108" i="5"/>
  <c r="D108" i="5" s="1"/>
  <c r="Q40" i="1" l="1"/>
  <c r="Q20" i="1"/>
  <c r="Q16" i="1"/>
  <c r="Q23" i="1"/>
  <c r="Q17" i="1"/>
  <c r="Q11" i="1"/>
  <c r="Q24" i="1"/>
  <c r="Q18" i="1"/>
  <c r="Q10" i="1"/>
  <c r="Q8" i="1"/>
  <c r="Q19" i="1"/>
  <c r="Q15" i="1"/>
  <c r="Q9" i="1"/>
  <c r="H139" i="6"/>
  <c r="B53" i="14" s="1"/>
  <c r="X12" i="1"/>
  <c r="W51" i="1"/>
  <c r="L131" i="4"/>
  <c r="X35" i="1"/>
  <c r="D106" i="6"/>
  <c r="F106" i="6"/>
  <c r="P51" i="1"/>
  <c r="Q29" i="1"/>
  <c r="Q47" i="1"/>
  <c r="Q33" i="1"/>
  <c r="Q48" i="1"/>
  <c r="Q30" i="1"/>
  <c r="Q28" i="1"/>
  <c r="Q34" i="1"/>
  <c r="Q32" i="1"/>
  <c r="Q42" i="1"/>
  <c r="Q46" i="1"/>
  <c r="Q39" i="1"/>
  <c r="Q38" i="1"/>
  <c r="Q31" i="1"/>
  <c r="Q35" i="1"/>
  <c r="Q43" i="1"/>
  <c r="Q49" i="1"/>
  <c r="X40" i="1"/>
  <c r="G117" i="5"/>
  <c r="F117" i="5" s="1"/>
  <c r="F138" i="5" s="1"/>
  <c r="G106" i="5"/>
  <c r="F106" i="5" s="1"/>
  <c r="G141" i="5"/>
  <c r="D143" i="5"/>
  <c r="F143" i="5"/>
  <c r="L108" i="4"/>
  <c r="M107" i="4"/>
  <c r="I117" i="5"/>
  <c r="H117" i="5" s="1"/>
  <c r="H138" i="5" s="1"/>
  <c r="E117" i="5"/>
  <c r="D117" i="5" s="1"/>
  <c r="D138" i="5" s="1"/>
  <c r="E141" i="5"/>
  <c r="E106" i="5"/>
  <c r="D106" i="5" s="1"/>
  <c r="U51" i="1"/>
  <c r="D139" i="6"/>
  <c r="B25" i="14" s="1"/>
  <c r="E51" i="1"/>
  <c r="L51" i="1"/>
  <c r="M48" i="1"/>
  <c r="M31" i="1"/>
  <c r="M24" i="1"/>
  <c r="M16" i="1"/>
  <c r="M8" i="1"/>
  <c r="M47" i="1"/>
  <c r="M34" i="1"/>
  <c r="M29" i="1"/>
  <c r="M23" i="1"/>
  <c r="M18" i="1"/>
  <c r="M11" i="1"/>
  <c r="M46" i="1"/>
  <c r="M28" i="1"/>
  <c r="M42" i="1"/>
  <c r="M43" i="1" s="1"/>
  <c r="M33" i="1"/>
  <c r="M17" i="1"/>
  <c r="M32" i="1"/>
  <c r="M15" i="1"/>
  <c r="M9" i="1"/>
  <c r="M30" i="1"/>
  <c r="M19" i="1"/>
  <c r="M49" i="1"/>
  <c r="M20" i="1"/>
  <c r="M12" i="1"/>
  <c r="M10" i="1"/>
  <c r="M35" i="1"/>
  <c r="M39" i="1"/>
  <c r="M38" i="1"/>
  <c r="M6" i="4"/>
  <c r="D9" i="5"/>
  <c r="J51" i="5"/>
  <c r="D51" i="5"/>
  <c r="H51" i="5"/>
  <c r="F51" i="5"/>
  <c r="H83" i="5"/>
  <c r="G144" i="5"/>
  <c r="F144" i="5" s="1"/>
  <c r="D83" i="5"/>
  <c r="F83" i="5"/>
  <c r="J83" i="5"/>
  <c r="H9" i="5"/>
  <c r="G109" i="5"/>
  <c r="F109" i="5" s="1"/>
  <c r="J9" i="5"/>
  <c r="E144" i="5"/>
  <c r="D144" i="5" s="1"/>
  <c r="E109" i="5"/>
  <c r="D109" i="5" s="1"/>
  <c r="F9" i="5"/>
  <c r="Y35" i="1" l="1"/>
  <c r="Y24" i="1"/>
  <c r="Y18" i="1"/>
  <c r="Y8" i="1"/>
  <c r="Y19" i="1"/>
  <c r="Y15" i="1"/>
  <c r="Y10" i="1"/>
  <c r="Y20" i="1"/>
  <c r="Y16" i="1"/>
  <c r="Y23" i="1"/>
  <c r="Y17" i="1"/>
  <c r="Y11" i="1"/>
  <c r="Y9" i="1"/>
  <c r="Y12" i="1"/>
  <c r="Y40" i="1"/>
  <c r="Q51" i="1"/>
  <c r="Q5" i="1"/>
  <c r="M5" i="1"/>
  <c r="L109" i="4"/>
  <c r="M108" i="4"/>
  <c r="F6" i="6"/>
  <c r="J6" i="6"/>
  <c r="H6" i="6"/>
  <c r="D6" i="6"/>
  <c r="F141" i="5"/>
  <c r="L132" i="4"/>
  <c r="M131" i="4"/>
  <c r="F131" i="6" s="1"/>
  <c r="D141" i="5"/>
  <c r="X51" i="1"/>
  <c r="Y5" i="1"/>
  <c r="Y29" i="1"/>
  <c r="Y47" i="1"/>
  <c r="Y28" i="1"/>
  <c r="Y34" i="1"/>
  <c r="I5" i="1"/>
  <c r="Y42" i="1"/>
  <c r="Y30" i="1"/>
  <c r="Y33" i="1"/>
  <c r="Y48" i="1"/>
  <c r="Y46" i="1"/>
  <c r="Y32" i="1"/>
  <c r="Y31" i="1"/>
  <c r="E5" i="1"/>
  <c r="Y39" i="1"/>
  <c r="U5" i="1"/>
  <c r="Y38" i="1"/>
  <c r="Y43" i="1"/>
  <c r="Y49" i="1"/>
  <c r="M7" i="4"/>
  <c r="M51" i="1"/>
  <c r="F107" i="6"/>
  <c r="D107" i="6"/>
  <c r="F52" i="5"/>
  <c r="H52" i="5"/>
  <c r="D52" i="5"/>
  <c r="J52" i="5"/>
  <c r="G110" i="5"/>
  <c r="F110" i="5" s="1"/>
  <c r="H84" i="5"/>
  <c r="H10" i="5"/>
  <c r="F84" i="5"/>
  <c r="E145" i="5"/>
  <c r="J84" i="5"/>
  <c r="D84" i="5"/>
  <c r="E110" i="5"/>
  <c r="D110" i="5" s="1"/>
  <c r="J10" i="5"/>
  <c r="F10" i="5"/>
  <c r="D10" i="5"/>
  <c r="G145" i="5"/>
  <c r="Y51" i="1" l="1"/>
  <c r="F145" i="5"/>
  <c r="F7" i="6"/>
  <c r="H7" i="6"/>
  <c r="D7" i="6"/>
  <c r="J7" i="6"/>
  <c r="D108" i="6"/>
  <c r="F108" i="6"/>
  <c r="L9" i="4"/>
  <c r="M8" i="4"/>
  <c r="D145" i="5"/>
  <c r="L134" i="4"/>
  <c r="L110" i="4"/>
  <c r="M109" i="4"/>
  <c r="J53" i="5"/>
  <c r="D11" i="5"/>
  <c r="F53" i="5"/>
  <c r="D53" i="5"/>
  <c r="H53" i="5"/>
  <c r="F162" i="5"/>
  <c r="F163" i="5" s="1"/>
  <c r="J162" i="5"/>
  <c r="J163" i="5" s="1"/>
  <c r="D162" i="5"/>
  <c r="H162" i="5"/>
  <c r="H163" i="5" s="1"/>
  <c r="G146" i="5"/>
  <c r="F146" i="5" s="1"/>
  <c r="F85" i="5"/>
  <c r="J85" i="5"/>
  <c r="H85" i="5"/>
  <c r="F11" i="5"/>
  <c r="D85" i="5"/>
  <c r="H11" i="5"/>
  <c r="J11" i="5"/>
  <c r="E146" i="5"/>
  <c r="D146" i="5" s="1"/>
  <c r="D8" i="6" l="1"/>
  <c r="H8" i="6"/>
  <c r="J8" i="6"/>
  <c r="F8" i="6"/>
  <c r="D109" i="6"/>
  <c r="F109" i="6"/>
  <c r="L136" i="4"/>
  <c r="M136" i="4" s="1"/>
  <c r="F136" i="6" s="1"/>
  <c r="M134" i="4"/>
  <c r="F134" i="6" s="1"/>
  <c r="L10" i="4"/>
  <c r="M9" i="4"/>
  <c r="L111" i="4"/>
  <c r="M110" i="4"/>
  <c r="D163" i="5"/>
  <c r="H54" i="5"/>
  <c r="D54" i="5"/>
  <c r="J54" i="5"/>
  <c r="F54" i="5"/>
  <c r="H12" i="5"/>
  <c r="J12" i="5"/>
  <c r="E147" i="5"/>
  <c r="D12" i="5"/>
  <c r="G147" i="5"/>
  <c r="F86" i="5"/>
  <c r="H86" i="5"/>
  <c r="D86" i="5"/>
  <c r="J86" i="5"/>
  <c r="F12" i="5"/>
  <c r="F147" i="5" l="1"/>
  <c r="F110" i="6"/>
  <c r="D110" i="6"/>
  <c r="L141" i="4"/>
  <c r="M111" i="4"/>
  <c r="F139" i="6"/>
  <c r="B39" i="14" s="1"/>
  <c r="D147" i="5"/>
  <c r="D9" i="6"/>
  <c r="F9" i="6"/>
  <c r="H9" i="6"/>
  <c r="J9" i="6"/>
  <c r="L11" i="4"/>
  <c r="M10" i="4"/>
  <c r="D13" i="5"/>
  <c r="F56" i="5"/>
  <c r="J56" i="5"/>
  <c r="D56" i="5"/>
  <c r="H56" i="5"/>
  <c r="H87" i="5"/>
  <c r="F13" i="5"/>
  <c r="D87" i="5"/>
  <c r="H13" i="5"/>
  <c r="G148" i="5"/>
  <c r="F148" i="5" s="1"/>
  <c r="J13" i="5"/>
  <c r="E148" i="5"/>
  <c r="D148" i="5" s="1"/>
  <c r="F87" i="5"/>
  <c r="J87" i="5"/>
  <c r="D10" i="6" l="1"/>
  <c r="J10" i="6"/>
  <c r="H10" i="6"/>
  <c r="F10" i="6"/>
  <c r="L12" i="4"/>
  <c r="M11" i="4"/>
  <c r="F111" i="6"/>
  <c r="D111" i="6"/>
  <c r="L142" i="4"/>
  <c r="L143" i="4" s="1"/>
  <c r="M141" i="4"/>
  <c r="H57" i="5"/>
  <c r="J57" i="5"/>
  <c r="D57" i="5"/>
  <c r="F57" i="5"/>
  <c r="F88" i="5"/>
  <c r="D14" i="5"/>
  <c r="J14" i="5"/>
  <c r="E149" i="5"/>
  <c r="J88" i="5"/>
  <c r="D88" i="5"/>
  <c r="H88" i="5"/>
  <c r="G149" i="5"/>
  <c r="F14" i="5"/>
  <c r="H14" i="5"/>
  <c r="D149" i="5" l="1"/>
  <c r="D141" i="6"/>
  <c r="F141" i="6"/>
  <c r="H11" i="6"/>
  <c r="D11" i="6"/>
  <c r="F11" i="6"/>
  <c r="J11" i="6"/>
  <c r="F149" i="5"/>
  <c r="L144" i="4"/>
  <c r="L145" i="4" s="1"/>
  <c r="M143" i="4"/>
  <c r="L13" i="4"/>
  <c r="M12" i="4"/>
  <c r="D15" i="5"/>
  <c r="F58" i="5"/>
  <c r="D58" i="5"/>
  <c r="H58" i="5"/>
  <c r="J58" i="5"/>
  <c r="G150" i="5"/>
  <c r="F150" i="5" s="1"/>
  <c r="H15" i="5"/>
  <c r="F15" i="5"/>
  <c r="H89" i="5"/>
  <c r="J89" i="5"/>
  <c r="F89" i="5"/>
  <c r="E150" i="5"/>
  <c r="D150" i="5" s="1"/>
  <c r="D89" i="5"/>
  <c r="J15" i="5"/>
  <c r="F143" i="6" l="1"/>
  <c r="D143" i="6"/>
  <c r="L146" i="4"/>
  <c r="L147" i="4" s="1"/>
  <c r="M145" i="4"/>
  <c r="F12" i="6"/>
  <c r="J12" i="6"/>
  <c r="D12" i="6"/>
  <c r="H12" i="6"/>
  <c r="L14" i="4"/>
  <c r="M13" i="4"/>
  <c r="D59" i="5"/>
  <c r="F59" i="5"/>
  <c r="J59" i="5"/>
  <c r="H59" i="5"/>
  <c r="J90" i="5"/>
  <c r="H16" i="5"/>
  <c r="D90" i="5"/>
  <c r="E151" i="5"/>
  <c r="F16" i="5"/>
  <c r="D16" i="5"/>
  <c r="F90" i="5"/>
  <c r="J16" i="5"/>
  <c r="G151" i="5"/>
  <c r="H90" i="5"/>
  <c r="L15" i="4" l="1"/>
  <c r="M14" i="4"/>
  <c r="L148" i="4"/>
  <c r="L149" i="4" s="1"/>
  <c r="M147" i="4"/>
  <c r="F151" i="5"/>
  <c r="D151" i="5"/>
  <c r="J13" i="6"/>
  <c r="F13" i="6"/>
  <c r="D13" i="6"/>
  <c r="H13" i="6"/>
  <c r="F145" i="6"/>
  <c r="D145" i="6"/>
  <c r="D17" i="5"/>
  <c r="F60" i="5"/>
  <c r="D60" i="5"/>
  <c r="H60" i="5"/>
  <c r="J60" i="5"/>
  <c r="H91" i="5"/>
  <c r="J17" i="5"/>
  <c r="F91" i="5"/>
  <c r="E152" i="5"/>
  <c r="D152" i="5" s="1"/>
  <c r="J91" i="5"/>
  <c r="H17" i="5"/>
  <c r="G152" i="5"/>
  <c r="F152" i="5" s="1"/>
  <c r="F17" i="5"/>
  <c r="D91" i="5"/>
  <c r="J14" i="6" l="1"/>
  <c r="F14" i="6"/>
  <c r="D14" i="6"/>
  <c r="H14" i="6"/>
  <c r="L150" i="4"/>
  <c r="L151" i="4" s="1"/>
  <c r="M149" i="4"/>
  <c r="L16" i="4"/>
  <c r="M15" i="4"/>
  <c r="D147" i="6"/>
  <c r="F147" i="6"/>
  <c r="J61" i="5"/>
  <c r="H61" i="5"/>
  <c r="D61" i="5"/>
  <c r="F61" i="5"/>
  <c r="F92" i="5"/>
  <c r="F100" i="5" s="1"/>
  <c r="J92" i="5"/>
  <c r="J100" i="5" s="1"/>
  <c r="H18" i="5"/>
  <c r="G153" i="5"/>
  <c r="F153" i="5" s="1"/>
  <c r="H92" i="5"/>
  <c r="H100" i="5" s="1"/>
  <c r="D92" i="5"/>
  <c r="D100" i="5" s="1"/>
  <c r="J18" i="5"/>
  <c r="E153" i="5"/>
  <c r="D153" i="5" s="1"/>
  <c r="F18" i="5"/>
  <c r="D18" i="5"/>
  <c r="F149" i="6" l="1"/>
  <c r="D149" i="6"/>
  <c r="F15" i="6"/>
  <c r="H15" i="6"/>
  <c r="D15" i="6"/>
  <c r="J15" i="6"/>
  <c r="L152" i="4"/>
  <c r="L153" i="4" s="1"/>
  <c r="M151" i="4"/>
  <c r="L17" i="4"/>
  <c r="M16" i="4"/>
  <c r="D157" i="5"/>
  <c r="E158" i="6"/>
  <c r="F157" i="5"/>
  <c r="G158" i="6"/>
  <c r="F62" i="5"/>
  <c r="D62" i="5"/>
  <c r="H62" i="5"/>
  <c r="J62" i="5"/>
  <c r="F19" i="5"/>
  <c r="J19" i="5"/>
  <c r="H19" i="5"/>
  <c r="D19" i="5"/>
  <c r="G165" i="6" l="1"/>
  <c r="E165" i="6"/>
  <c r="H16" i="6"/>
  <c r="D16" i="6"/>
  <c r="J16" i="6"/>
  <c r="F16" i="6"/>
  <c r="L154" i="4"/>
  <c r="M153" i="4"/>
  <c r="L18" i="4"/>
  <c r="M17" i="4"/>
  <c r="F151" i="6"/>
  <c r="D151" i="6"/>
  <c r="J63" i="5"/>
  <c r="H63" i="5"/>
  <c r="D63" i="5"/>
  <c r="F63" i="5"/>
  <c r="H20" i="5"/>
  <c r="F20" i="5"/>
  <c r="J20" i="5"/>
  <c r="D20" i="5"/>
  <c r="D17" i="6" l="1"/>
  <c r="F17" i="6"/>
  <c r="H17" i="6"/>
  <c r="J17" i="6"/>
  <c r="D153" i="6"/>
  <c r="D158" i="6" s="1"/>
  <c r="B26" i="14" s="1"/>
  <c r="F153" i="6"/>
  <c r="F158" i="6" s="1"/>
  <c r="B40" i="14" s="1"/>
  <c r="L19" i="4"/>
  <c r="M18" i="4"/>
  <c r="F64" i="5"/>
  <c r="D64" i="5"/>
  <c r="H64" i="5"/>
  <c r="J64" i="5"/>
  <c r="D102" i="5"/>
  <c r="J102" i="5"/>
  <c r="J103" i="5" s="1"/>
  <c r="F21" i="5"/>
  <c r="D21" i="5"/>
  <c r="F102" i="5"/>
  <c r="F103" i="5" s="1"/>
  <c r="H102" i="5"/>
  <c r="H103" i="5" s="1"/>
  <c r="H21" i="5"/>
  <c r="J21" i="5"/>
  <c r="L20" i="4" l="1"/>
  <c r="L21" i="4" s="1"/>
  <c r="M19" i="4"/>
  <c r="D18" i="6"/>
  <c r="H18" i="6"/>
  <c r="F18" i="6"/>
  <c r="J18" i="6"/>
  <c r="D103" i="5"/>
  <c r="J65" i="5"/>
  <c r="D65" i="5"/>
  <c r="H65" i="5"/>
  <c r="F65" i="5"/>
  <c r="F22" i="5"/>
  <c r="D22" i="5"/>
  <c r="H22" i="5"/>
  <c r="J22" i="5"/>
  <c r="H19" i="6" l="1"/>
  <c r="F19" i="6"/>
  <c r="D19" i="6"/>
  <c r="J19" i="6"/>
  <c r="M20" i="4"/>
  <c r="F66" i="5"/>
  <c r="D66" i="5"/>
  <c r="H66" i="5"/>
  <c r="J66" i="5"/>
  <c r="D23" i="5"/>
  <c r="J23" i="5"/>
  <c r="H23" i="5"/>
  <c r="F23" i="5"/>
  <c r="L22" i="4" l="1"/>
  <c r="M21" i="4"/>
  <c r="H20" i="6"/>
  <c r="F20" i="6"/>
  <c r="J20" i="6"/>
  <c r="D20" i="6"/>
  <c r="J67" i="5"/>
  <c r="H67" i="5"/>
  <c r="D67" i="5"/>
  <c r="F67" i="5"/>
  <c r="J24" i="5"/>
  <c r="H24" i="5"/>
  <c r="F24" i="5"/>
  <c r="D24" i="5"/>
  <c r="L23" i="4" l="1"/>
  <c r="M22" i="4"/>
  <c r="D21" i="6"/>
  <c r="F21" i="6"/>
  <c r="J21" i="6"/>
  <c r="H21" i="6"/>
  <c r="D25" i="5"/>
  <c r="F68" i="5"/>
  <c r="J68" i="5"/>
  <c r="D68" i="5"/>
  <c r="H68" i="5"/>
  <c r="J25" i="5"/>
  <c r="H25" i="5"/>
  <c r="F25" i="5"/>
  <c r="M23" i="4" l="1"/>
  <c r="L24" i="4"/>
  <c r="D22" i="6"/>
  <c r="F22" i="6"/>
  <c r="H22" i="6"/>
  <c r="J22" i="6"/>
  <c r="H69" i="5"/>
  <c r="F69" i="5"/>
  <c r="D69" i="5"/>
  <c r="J69" i="5"/>
  <c r="D27" i="5"/>
  <c r="J27" i="5"/>
  <c r="F27" i="5"/>
  <c r="H27" i="5"/>
  <c r="D23" i="6" l="1"/>
  <c r="J23" i="6"/>
  <c r="H23" i="6"/>
  <c r="F23" i="6"/>
  <c r="M24" i="4"/>
  <c r="L25" i="4"/>
  <c r="J70" i="5"/>
  <c r="H70" i="5"/>
  <c r="D70" i="5"/>
  <c r="F70" i="5"/>
  <c r="F28" i="5"/>
  <c r="H28" i="5"/>
  <c r="D28" i="5"/>
  <c r="J28" i="5"/>
  <c r="M25" i="4" l="1"/>
  <c r="L26" i="4"/>
  <c r="J24" i="6"/>
  <c r="D24" i="6"/>
  <c r="F24" i="6"/>
  <c r="H24" i="6"/>
  <c r="D71" i="5"/>
  <c r="F71" i="5"/>
  <c r="H71" i="5"/>
  <c r="J71" i="5"/>
  <c r="D29" i="5"/>
  <c r="F29" i="5"/>
  <c r="J29" i="5"/>
  <c r="H29" i="5"/>
  <c r="L28" i="4" l="1"/>
  <c r="M26" i="4"/>
  <c r="F25" i="6"/>
  <c r="H25" i="6"/>
  <c r="D25" i="6"/>
  <c r="J25" i="6"/>
  <c r="J72" i="5"/>
  <c r="J77" i="5" s="1"/>
  <c r="F72" i="5"/>
  <c r="F77" i="5" s="1"/>
  <c r="D72" i="5"/>
  <c r="D77" i="5" s="1"/>
  <c r="H72" i="5"/>
  <c r="H77" i="5" s="1"/>
  <c r="F30" i="5"/>
  <c r="D30" i="5"/>
  <c r="J30" i="5"/>
  <c r="H30" i="5"/>
  <c r="F26" i="6" l="1"/>
  <c r="J26" i="6"/>
  <c r="H26" i="6"/>
  <c r="D26" i="6"/>
  <c r="L29" i="4"/>
  <c r="M28" i="4"/>
  <c r="H31" i="5"/>
  <c r="J31" i="5"/>
  <c r="F31" i="5"/>
  <c r="D31" i="5"/>
  <c r="F28" i="6" l="1"/>
  <c r="D28" i="6"/>
  <c r="J28" i="6"/>
  <c r="H28" i="6"/>
  <c r="L30" i="4"/>
  <c r="M29" i="4"/>
  <c r="J32" i="5"/>
  <c r="H32" i="5"/>
  <c r="D32" i="5"/>
  <c r="F32" i="5"/>
  <c r="J29" i="6" l="1"/>
  <c r="D29" i="6"/>
  <c r="F29" i="6"/>
  <c r="H29" i="6"/>
  <c r="M30" i="4"/>
  <c r="L31" i="4"/>
  <c r="J113" i="5"/>
  <c r="J114" i="5" s="1"/>
  <c r="F113" i="5"/>
  <c r="F114" i="5" s="1"/>
  <c r="H113" i="5"/>
  <c r="H114" i="5" s="1"/>
  <c r="F33" i="5"/>
  <c r="H33" i="5"/>
  <c r="D33" i="5"/>
  <c r="D113" i="5"/>
  <c r="J33" i="5"/>
  <c r="L32" i="4" l="1"/>
  <c r="M31" i="4"/>
  <c r="D30" i="6"/>
  <c r="F30" i="6"/>
  <c r="H30" i="6"/>
  <c r="J30" i="6"/>
  <c r="D114" i="5"/>
  <c r="H34" i="5"/>
  <c r="F34" i="5"/>
  <c r="J34" i="5"/>
  <c r="D34" i="5"/>
  <c r="J31" i="6" l="1"/>
  <c r="D31" i="6"/>
  <c r="F31" i="6"/>
  <c r="H31" i="6"/>
  <c r="L33" i="4"/>
  <c r="M32" i="4"/>
  <c r="F35" i="5"/>
  <c r="D35" i="5"/>
  <c r="J35" i="5"/>
  <c r="H35" i="5"/>
  <c r="J32" i="6" l="1"/>
  <c r="H32" i="6"/>
  <c r="D32" i="6"/>
  <c r="F32" i="6"/>
  <c r="L34" i="4"/>
  <c r="M33" i="4"/>
  <c r="D36" i="5"/>
  <c r="J36" i="5"/>
  <c r="H36" i="5"/>
  <c r="F36" i="5"/>
  <c r="F33" i="6" l="1"/>
  <c r="J33" i="6"/>
  <c r="H33" i="6"/>
  <c r="D33" i="6"/>
  <c r="L35" i="4"/>
  <c r="M34" i="4"/>
  <c r="J37" i="5"/>
  <c r="H37" i="5"/>
  <c r="D37" i="5"/>
  <c r="F37" i="5"/>
  <c r="F34" i="6" l="1"/>
  <c r="H34" i="6"/>
  <c r="D34" i="6"/>
  <c r="J34" i="6"/>
  <c r="L36" i="4"/>
  <c r="M35" i="4"/>
  <c r="H38" i="5"/>
  <c r="F38" i="5"/>
  <c r="D38" i="5"/>
  <c r="J38" i="5"/>
  <c r="J35" i="6" l="1"/>
  <c r="F35" i="6"/>
  <c r="D35" i="6"/>
  <c r="H35" i="6"/>
  <c r="M36" i="4"/>
  <c r="L37" i="4"/>
  <c r="F39" i="5"/>
  <c r="F43" i="5" s="1"/>
  <c r="H39" i="5"/>
  <c r="H43" i="5" s="1"/>
  <c r="D39" i="5"/>
  <c r="D43" i="5" s="1"/>
  <c r="J39" i="5"/>
  <c r="J43" i="5" s="1"/>
  <c r="L38" i="4" l="1"/>
  <c r="M37" i="4"/>
  <c r="J36" i="6"/>
  <c r="H36" i="6"/>
  <c r="F36" i="6"/>
  <c r="D36" i="6"/>
  <c r="J164" i="5"/>
  <c r="H164" i="5"/>
  <c r="F164" i="5"/>
  <c r="J37" i="6" l="1"/>
  <c r="H37" i="6"/>
  <c r="D37" i="6"/>
  <c r="F37" i="6"/>
  <c r="M38" i="4"/>
  <c r="L39" i="4"/>
  <c r="D164" i="5"/>
  <c r="L40" i="4" l="1"/>
  <c r="L41" i="4" s="1"/>
  <c r="M39" i="4"/>
  <c r="H38" i="6"/>
  <c r="J38" i="6"/>
  <c r="F38" i="6"/>
  <c r="D38" i="6"/>
  <c r="L42" i="4" l="1"/>
  <c r="M41" i="4"/>
  <c r="F39" i="6"/>
  <c r="H39" i="6"/>
  <c r="J39" i="6"/>
  <c r="D39" i="6"/>
  <c r="M40" i="4"/>
  <c r="L46" i="4"/>
  <c r="J41" i="6" l="1"/>
  <c r="D41" i="6"/>
  <c r="F41" i="6"/>
  <c r="H41" i="6"/>
  <c r="L43" i="4"/>
  <c r="M43" i="4" s="1"/>
  <c r="M42" i="4"/>
  <c r="M46" i="4"/>
  <c r="L47" i="4"/>
  <c r="F40" i="6"/>
  <c r="D40" i="6"/>
  <c r="J40" i="6"/>
  <c r="H40" i="6"/>
  <c r="H42" i="6" l="1"/>
  <c r="D42" i="6"/>
  <c r="F42" i="6"/>
  <c r="J42" i="6"/>
  <c r="F43" i="6"/>
  <c r="J43" i="6"/>
  <c r="H43" i="6"/>
  <c r="D43" i="6"/>
  <c r="M47" i="4"/>
  <c r="L48" i="4"/>
  <c r="J46" i="6"/>
  <c r="D46" i="6"/>
  <c r="H46" i="6"/>
  <c r="F46" i="6"/>
  <c r="J44" i="6" l="1"/>
  <c r="B62" i="14" s="1"/>
  <c r="F44" i="6"/>
  <c r="B34" i="14" s="1"/>
  <c r="D44" i="6"/>
  <c r="B20" i="14" s="1"/>
  <c r="H44" i="6"/>
  <c r="B48" i="14" s="1"/>
  <c r="M48" i="4"/>
  <c r="L49" i="4"/>
  <c r="F47" i="6"/>
  <c r="D47" i="6"/>
  <c r="H47" i="6"/>
  <c r="J47" i="6"/>
  <c r="L50" i="4" l="1"/>
  <c r="M49" i="4"/>
  <c r="H48" i="6"/>
  <c r="J48" i="6"/>
  <c r="D48" i="6"/>
  <c r="F48" i="6"/>
  <c r="J49" i="6" l="1"/>
  <c r="F49" i="6"/>
  <c r="D49" i="6"/>
  <c r="H49" i="6"/>
  <c r="M50" i="4"/>
  <c r="L51" i="4"/>
  <c r="M51" i="4" l="1"/>
  <c r="L52" i="4"/>
  <c r="L53" i="4" s="1"/>
  <c r="F50" i="6"/>
  <c r="D50" i="6"/>
  <c r="H50" i="6"/>
  <c r="J50" i="6"/>
  <c r="M52" i="4" l="1"/>
  <c r="J51" i="6"/>
  <c r="F51" i="6"/>
  <c r="H51" i="6"/>
  <c r="D51" i="6"/>
  <c r="J52" i="6" l="1"/>
  <c r="D52" i="6"/>
  <c r="H52" i="6"/>
  <c r="F52" i="6"/>
  <c r="L54" i="4"/>
  <c r="M53" i="4"/>
  <c r="L55" i="4" l="1"/>
  <c r="M54" i="4"/>
  <c r="H53" i="6"/>
  <c r="J53" i="6"/>
  <c r="F53" i="6"/>
  <c r="D53" i="6"/>
  <c r="L57" i="4" l="1"/>
  <c r="M55" i="4"/>
  <c r="D54" i="6"/>
  <c r="H54" i="6"/>
  <c r="J54" i="6"/>
  <c r="F54" i="6"/>
  <c r="M57" i="4" l="1"/>
  <c r="L58" i="4"/>
  <c r="D55" i="6"/>
  <c r="F55" i="6"/>
  <c r="H55" i="6"/>
  <c r="J55" i="6"/>
  <c r="F57" i="6" l="1"/>
  <c r="D57" i="6"/>
  <c r="H57" i="6"/>
  <c r="J57" i="6"/>
  <c r="M58" i="4"/>
  <c r="L59" i="4"/>
  <c r="M59" i="4" l="1"/>
  <c r="L60" i="4"/>
  <c r="F58" i="6"/>
  <c r="H58" i="6"/>
  <c r="D58" i="6"/>
  <c r="J58" i="6"/>
  <c r="M60" i="4" l="1"/>
  <c r="L61" i="4"/>
  <c r="J59" i="6"/>
  <c r="H59" i="6"/>
  <c r="F59" i="6"/>
  <c r="D59" i="6"/>
  <c r="M61" i="4" l="1"/>
  <c r="L62" i="4"/>
  <c r="F60" i="6"/>
  <c r="D60" i="6"/>
  <c r="H60" i="6"/>
  <c r="J60" i="6"/>
  <c r="L63" i="4" l="1"/>
  <c r="M62" i="4"/>
  <c r="D61" i="6"/>
  <c r="H61" i="6"/>
  <c r="J61" i="6"/>
  <c r="F61" i="6"/>
  <c r="H62" i="6" l="1"/>
  <c r="J62" i="6"/>
  <c r="F62" i="6"/>
  <c r="D62" i="6"/>
  <c r="L64" i="4"/>
  <c r="M63" i="4"/>
  <c r="D63" i="6" l="1"/>
  <c r="J63" i="6"/>
  <c r="H63" i="6"/>
  <c r="F63" i="6"/>
  <c r="L65" i="4"/>
  <c r="M64" i="4"/>
  <c r="D64" i="6" l="1"/>
  <c r="H64" i="6"/>
  <c r="J64" i="6"/>
  <c r="F64" i="6"/>
  <c r="L66" i="4"/>
  <c r="M65" i="4"/>
  <c r="D65" i="6" l="1"/>
  <c r="J65" i="6"/>
  <c r="F65" i="6"/>
  <c r="H65" i="6"/>
  <c r="L67" i="4"/>
  <c r="M66" i="4"/>
  <c r="E165" i="4"/>
  <c r="F66" i="6" l="1"/>
  <c r="J66" i="6"/>
  <c r="D66" i="6"/>
  <c r="H66" i="6"/>
  <c r="M67" i="4"/>
  <c r="L68" i="4"/>
  <c r="M68" i="4" l="1"/>
  <c r="L69" i="4"/>
  <c r="H67" i="6"/>
  <c r="J67" i="6"/>
  <c r="F67" i="6"/>
  <c r="D67" i="6"/>
  <c r="M69" i="4" l="1"/>
  <c r="L70" i="4"/>
  <c r="D68" i="6"/>
  <c r="H68" i="6"/>
  <c r="J68" i="6"/>
  <c r="F68" i="6"/>
  <c r="L71" i="4" l="1"/>
  <c r="M70" i="4"/>
  <c r="D69" i="6"/>
  <c r="H69" i="6"/>
  <c r="J69" i="6"/>
  <c r="F69" i="6"/>
  <c r="J70" i="6" l="1"/>
  <c r="F70" i="6"/>
  <c r="D70" i="6"/>
  <c r="H70" i="6"/>
  <c r="M71" i="4"/>
  <c r="L72" i="4"/>
  <c r="M72" i="4" l="1"/>
  <c r="L73" i="4"/>
  <c r="L74" i="4" s="1"/>
  <c r="J71" i="6"/>
  <c r="F71" i="6"/>
  <c r="D71" i="6"/>
  <c r="H71" i="6"/>
  <c r="L75" i="4" l="1"/>
  <c r="M74" i="4"/>
  <c r="L80" i="4"/>
  <c r="M73" i="4"/>
  <c r="D72" i="6"/>
  <c r="F72" i="6"/>
  <c r="H72" i="6"/>
  <c r="J72" i="6"/>
  <c r="J74" i="6" l="1"/>
  <c r="H74" i="6"/>
  <c r="F74" i="6"/>
  <c r="D74" i="6"/>
  <c r="L76" i="4"/>
  <c r="M75" i="4"/>
  <c r="D73" i="6"/>
  <c r="J73" i="6"/>
  <c r="H73" i="6"/>
  <c r="F73" i="6"/>
  <c r="M80" i="4"/>
  <c r="L81" i="4"/>
  <c r="J75" i="6" l="1"/>
  <c r="H75" i="6"/>
  <c r="F75" i="6"/>
  <c r="D75" i="6"/>
  <c r="L77" i="4"/>
  <c r="M77" i="4" s="1"/>
  <c r="M76" i="4"/>
  <c r="L82" i="4"/>
  <c r="M81" i="4"/>
  <c r="H80" i="6"/>
  <c r="F80" i="6"/>
  <c r="D80" i="6"/>
  <c r="J80" i="6"/>
  <c r="H76" i="6" l="1"/>
  <c r="F76" i="6"/>
  <c r="J76" i="6"/>
  <c r="D76" i="6"/>
  <c r="H77" i="6"/>
  <c r="D77" i="6"/>
  <c r="J77" i="6"/>
  <c r="F77" i="6"/>
  <c r="J81" i="6"/>
  <c r="H81" i="6"/>
  <c r="D81" i="6"/>
  <c r="F81" i="6"/>
  <c r="M82" i="4"/>
  <c r="L83" i="4"/>
  <c r="J78" i="6" l="1"/>
  <c r="B63" i="14" s="1"/>
  <c r="F78" i="6"/>
  <c r="B35" i="14" s="1"/>
  <c r="H78" i="6"/>
  <c r="B49" i="14" s="1"/>
  <c r="D78" i="6"/>
  <c r="B21" i="14" s="1"/>
  <c r="L84" i="4"/>
  <c r="M83" i="4"/>
  <c r="F82" i="6"/>
  <c r="D82" i="6"/>
  <c r="J82" i="6"/>
  <c r="H82" i="6"/>
  <c r="J83" i="6" l="1"/>
  <c r="H83" i="6"/>
  <c r="F83" i="6"/>
  <c r="D83" i="6"/>
  <c r="M84" i="4"/>
  <c r="L85" i="4"/>
  <c r="F84" i="6" l="1"/>
  <c r="D84" i="6"/>
  <c r="H84" i="6"/>
  <c r="J84" i="6"/>
  <c r="L86" i="4"/>
  <c r="M85" i="4"/>
  <c r="D85" i="6" l="1"/>
  <c r="J85" i="6"/>
  <c r="H85" i="6"/>
  <c r="F85" i="6"/>
  <c r="L87" i="4"/>
  <c r="M86" i="4"/>
  <c r="J86" i="6" l="1"/>
  <c r="H86" i="6"/>
  <c r="F86" i="6"/>
  <c r="D86" i="6"/>
  <c r="L88" i="4"/>
  <c r="M87" i="4"/>
  <c r="F87" i="6" l="1"/>
  <c r="D87" i="6"/>
  <c r="J87" i="6"/>
  <c r="H87" i="6"/>
  <c r="M88" i="4"/>
  <c r="L89" i="4"/>
  <c r="L90" i="4" l="1"/>
  <c r="M89" i="4"/>
  <c r="J88" i="6"/>
  <c r="H88" i="6"/>
  <c r="F88" i="6"/>
  <c r="D88" i="6"/>
  <c r="H89" i="6" l="1"/>
  <c r="F89" i="6"/>
  <c r="D89" i="6"/>
  <c r="J89" i="6"/>
  <c r="L91" i="4"/>
  <c r="M90" i="4"/>
  <c r="D90" i="6" l="1"/>
  <c r="J90" i="6"/>
  <c r="H90" i="6"/>
  <c r="F90" i="6"/>
  <c r="M91" i="4"/>
  <c r="L92" i="4"/>
  <c r="L93" i="4" l="1"/>
  <c r="L94" i="4" s="1"/>
  <c r="M92" i="4"/>
  <c r="D91" i="6"/>
  <c r="J91" i="6"/>
  <c r="H91" i="6"/>
  <c r="F91" i="6"/>
  <c r="M94" i="4" l="1"/>
  <c r="L95" i="4"/>
  <c r="F92" i="6"/>
  <c r="D92" i="6"/>
  <c r="J92" i="6"/>
  <c r="H92" i="6"/>
  <c r="M93" i="4"/>
  <c r="L103" i="4"/>
  <c r="M103" i="4" s="1"/>
  <c r="L114" i="4"/>
  <c r="J94" i="6" l="1"/>
  <c r="F94" i="6"/>
  <c r="H94" i="6"/>
  <c r="D94" i="6"/>
  <c r="L96" i="4"/>
  <c r="M95" i="4"/>
  <c r="L163" i="4"/>
  <c r="M163" i="4" s="1"/>
  <c r="D163" i="6" s="1"/>
  <c r="M114" i="4"/>
  <c r="F103" i="6"/>
  <c r="F104" i="6" s="1"/>
  <c r="B37" i="14" s="1"/>
  <c r="D103" i="6"/>
  <c r="D104" i="6" s="1"/>
  <c r="B23" i="14" s="1"/>
  <c r="J103" i="6"/>
  <c r="J104" i="6" s="1"/>
  <c r="B65" i="14" s="1"/>
  <c r="H103" i="6"/>
  <c r="H104" i="6" s="1"/>
  <c r="B51" i="14" s="1"/>
  <c r="H93" i="6"/>
  <c r="F93" i="6"/>
  <c r="J93" i="6"/>
  <c r="D93" i="6"/>
  <c r="H95" i="6" l="1"/>
  <c r="D95" i="6"/>
  <c r="F95" i="6"/>
  <c r="J95" i="6"/>
  <c r="M96" i="4"/>
  <c r="L97" i="4"/>
  <c r="J114" i="6"/>
  <c r="J115" i="6" s="1"/>
  <c r="B66" i="14" s="1"/>
  <c r="H114" i="6"/>
  <c r="H115" i="6" s="1"/>
  <c r="D114" i="6"/>
  <c r="D115" i="6" s="1"/>
  <c r="F114" i="6"/>
  <c r="F115" i="6" s="1"/>
  <c r="J163" i="6"/>
  <c r="J164" i="6" s="1"/>
  <c r="B70" i="14" s="1"/>
  <c r="H163" i="6"/>
  <c r="H164" i="6" s="1"/>
  <c r="B56" i="14" s="1"/>
  <c r="D164" i="6"/>
  <c r="B28" i="14" s="1"/>
  <c r="F163" i="6"/>
  <c r="F164" i="6" s="1"/>
  <c r="B42" i="14" s="1"/>
  <c r="H174" i="6" l="1"/>
  <c r="B52" i="14"/>
  <c r="F49" i="14" s="1"/>
  <c r="J174" i="6"/>
  <c r="F63" i="14"/>
  <c r="F174" i="6"/>
  <c r="B38" i="14"/>
  <c r="F35" i="14" s="1"/>
  <c r="D174" i="6"/>
  <c r="B24" i="14"/>
  <c r="F21" i="14" s="1"/>
  <c r="F96" i="6"/>
  <c r="J96" i="6"/>
  <c r="D96" i="6"/>
  <c r="H96" i="6"/>
  <c r="L98" i="4"/>
  <c r="M97" i="4"/>
  <c r="D97" i="6" l="1"/>
  <c r="H97" i="6"/>
  <c r="J97" i="6"/>
  <c r="F97" i="6"/>
  <c r="M98" i="4"/>
  <c r="L99" i="4"/>
  <c r="J98" i="6" l="1"/>
  <c r="F98" i="6"/>
  <c r="H98" i="6"/>
  <c r="D98" i="6"/>
  <c r="L100" i="4"/>
  <c r="M100" i="4" s="1"/>
  <c r="M99" i="4"/>
  <c r="H99" i="6" l="1"/>
  <c r="D99" i="6"/>
  <c r="J99" i="6"/>
  <c r="F99" i="6"/>
  <c r="F100" i="6"/>
  <c r="J100" i="6"/>
  <c r="D100" i="6"/>
  <c r="H100" i="6"/>
  <c r="H173" i="6" l="1"/>
  <c r="D173" i="6"/>
  <c r="J173" i="6"/>
  <c r="F173" i="6"/>
  <c r="H101" i="6"/>
  <c r="J101" i="6"/>
  <c r="F101" i="6"/>
  <c r="D101" i="6"/>
  <c r="D165" i="6" l="1"/>
  <c r="B22" i="14"/>
  <c r="H165" i="6"/>
  <c r="B50" i="14"/>
  <c r="F165" i="6"/>
  <c r="B36" i="14"/>
  <c r="J165" i="6"/>
  <c r="B64" i="14"/>
  <c r="B71" i="14" l="1"/>
  <c r="F62" i="14"/>
  <c r="F64" i="14" s="1"/>
  <c r="B57" i="14"/>
  <c r="F48" i="14"/>
  <c r="F50" i="14" s="1"/>
  <c r="F34" i="14"/>
  <c r="F36" i="14" s="1"/>
  <c r="B43" i="14"/>
  <c r="F20" i="14"/>
  <c r="F22" i="14" s="1"/>
  <c r="B29" i="14"/>
</calcChain>
</file>

<file path=xl/sharedStrings.xml><?xml version="1.0" encoding="utf-8"?>
<sst xmlns="http://schemas.openxmlformats.org/spreadsheetml/2006/main" count="3856" uniqueCount="994">
  <si>
    <t>DESCRIPTION</t>
  </si>
  <si>
    <t>RESIDENTIAL AREA 1</t>
  </si>
  <si>
    <t>RESIDENTIAL AREA 2</t>
  </si>
  <si>
    <t>RESIDENTIAL AREA 3</t>
  </si>
  <si>
    <t>TOTAL RESIDENTIAL AREA</t>
  </si>
  <si>
    <t>EMPLOYMENT AREA</t>
  </si>
  <si>
    <t>TOTAL PRECINCT</t>
  </si>
  <si>
    <t>Hectares</t>
  </si>
  <si>
    <t>% of Total Precinct</t>
  </si>
  <si>
    <t>% of NDA</t>
  </si>
  <si>
    <t>TOTAL PRECINCT AREA (including existing road reserves)</t>
  </si>
  <si>
    <t>TRANSPORT</t>
  </si>
  <si>
    <t>Local Bus Interchange</t>
  </si>
  <si>
    <t>Railway Corridors / Easements</t>
  </si>
  <si>
    <t>SUBTOTAL</t>
  </si>
  <si>
    <t>COMMUNITY FACILITIES</t>
  </si>
  <si>
    <t>Community Services Facilities</t>
  </si>
  <si>
    <t>Civic</t>
  </si>
  <si>
    <t>Justice</t>
  </si>
  <si>
    <t>Major Activity Centre Public Space</t>
  </si>
  <si>
    <t>Emergency</t>
  </si>
  <si>
    <t>GOVERNMENT EDUCATION</t>
  </si>
  <si>
    <t>Government Schools</t>
  </si>
  <si>
    <t>OPEN SPACE</t>
  </si>
  <si>
    <t>ENCUMBERED LAND AVAILABLE FOR RECREATION</t>
  </si>
  <si>
    <t>Power Easements</t>
  </si>
  <si>
    <t>Gas Easements</t>
  </si>
  <si>
    <t>Water / Sewer Pipe Easement</t>
  </si>
  <si>
    <t>Waterway / Drainage Line / Wetland / Retarding</t>
  </si>
  <si>
    <t>Heritage</t>
  </si>
  <si>
    <t>Conservation</t>
  </si>
  <si>
    <t>Landfill</t>
  </si>
  <si>
    <t>UNENCUMBERED LAND AVAILABLE FOR RECREATION</t>
  </si>
  <si>
    <t>Active Open Space</t>
  </si>
  <si>
    <t>Passive Open Space</t>
  </si>
  <si>
    <t>SUB-TOTAL OPEN SPACE</t>
  </si>
  <si>
    <t>Other - Regional Park</t>
  </si>
  <si>
    <t>SUBTOTAL REGIONAL OPEN SPACE</t>
  </si>
  <si>
    <t>OTHER</t>
  </si>
  <si>
    <t>Existing Road Reserves</t>
  </si>
  <si>
    <t>Balance of Land subject to Land Capability Assessment</t>
  </si>
  <si>
    <t>NET DEVELOPABLE AREA (NDA) Ha</t>
  </si>
  <si>
    <t xml:space="preserve">COMMUNITY  </t>
  </si>
  <si>
    <t>UNENCUMBERED LAND FOR RECREATION</t>
  </si>
  <si>
    <t>Total Net Developable Area (Hectares)</t>
  </si>
  <si>
    <t>KEY PERCENTAGES</t>
  </si>
  <si>
    <t xml:space="preserve">PASSIVE OPEN SPACE  </t>
  </si>
  <si>
    <t>Property Number</t>
  </si>
  <si>
    <t>Total Area (Hectares)</t>
  </si>
  <si>
    <t>Railway Reservation</t>
  </si>
  <si>
    <t>Community Facilities</t>
  </si>
  <si>
    <t>Government Education</t>
  </si>
  <si>
    <t>Passive Open Space *</t>
  </si>
  <si>
    <t>Regional Park</t>
  </si>
  <si>
    <t>Balance of Land Subject to Land Capability Assessment</t>
  </si>
  <si>
    <t>Victorian Heritage Register</t>
  </si>
  <si>
    <t>Existing Road Reserves Not Allocated for Development</t>
  </si>
  <si>
    <t>Net Development Area of Precinct</t>
  </si>
  <si>
    <t>Active Open Space % of NDA</t>
  </si>
  <si>
    <t>Passive Open Space % of NDA</t>
  </si>
  <si>
    <t>Total Passive and Active Open Space %</t>
  </si>
  <si>
    <t>Passive Open Space Delivery Target % *</t>
  </si>
  <si>
    <t>Difference % NDA</t>
  </si>
  <si>
    <t>Difference Area Ha</t>
  </si>
  <si>
    <t>PRECINCT 1</t>
  </si>
  <si>
    <t>Property 1</t>
  </si>
  <si>
    <t>Property 2</t>
  </si>
  <si>
    <t>Property 3</t>
  </si>
  <si>
    <t>Property 4</t>
  </si>
  <si>
    <t>Property 5</t>
  </si>
  <si>
    <t>Property 6</t>
  </si>
  <si>
    <t>Property 7</t>
  </si>
  <si>
    <t>Property 8</t>
  </si>
  <si>
    <t>Property 9</t>
  </si>
  <si>
    <t>Property 10</t>
  </si>
  <si>
    <t>Property 11</t>
  </si>
  <si>
    <t>**</t>
  </si>
  <si>
    <t>Property 12</t>
  </si>
  <si>
    <t>Property 13</t>
  </si>
  <si>
    <t>Property 14</t>
  </si>
  <si>
    <t>Property 145</t>
  </si>
  <si>
    <t>Property 146</t>
  </si>
  <si>
    <t>Property 147</t>
  </si>
  <si>
    <t>Road Reserves</t>
  </si>
  <si>
    <t>TOTAL AREA 1</t>
  </si>
  <si>
    <t>** Net Developable Area and Passive Open Space Contribution to be determined via a land capability assessment</t>
  </si>
  <si>
    <t>PRECINCT 2</t>
  </si>
  <si>
    <t>Property 15</t>
  </si>
  <si>
    <t>Property 16</t>
  </si>
  <si>
    <t>Property 17</t>
  </si>
  <si>
    <t>Property 18</t>
  </si>
  <si>
    <t>Property 19</t>
  </si>
  <si>
    <t>Property 20</t>
  </si>
  <si>
    <t>Property 21</t>
  </si>
  <si>
    <t>Property 22</t>
  </si>
  <si>
    <t>Property 23</t>
  </si>
  <si>
    <t>Property 24</t>
  </si>
  <si>
    <t>Property 25</t>
  </si>
  <si>
    <t>Property 26</t>
  </si>
  <si>
    <t>Property 27</t>
  </si>
  <si>
    <t>Property 28</t>
  </si>
  <si>
    <t>Property 29</t>
  </si>
  <si>
    <t>Property 30</t>
  </si>
  <si>
    <t>Property 31</t>
  </si>
  <si>
    <t>Property 32</t>
  </si>
  <si>
    <t>Property 33</t>
  </si>
  <si>
    <t>Property 34</t>
  </si>
  <si>
    <t>Property 36</t>
  </si>
  <si>
    <t>Property 38</t>
  </si>
  <si>
    <t>Property 39</t>
  </si>
  <si>
    <t>Property 40</t>
  </si>
  <si>
    <t>Property 41</t>
  </si>
  <si>
    <t>Property 42</t>
  </si>
  <si>
    <t>Property 43</t>
  </si>
  <si>
    <t>Property 44</t>
  </si>
  <si>
    <t>Property 45</t>
  </si>
  <si>
    <t>Property 46</t>
  </si>
  <si>
    <t>Property 47</t>
  </si>
  <si>
    <t>Property 48</t>
  </si>
  <si>
    <t>Property 50</t>
  </si>
  <si>
    <t>Property 51</t>
  </si>
  <si>
    <t>Property 52</t>
  </si>
  <si>
    <t>Property 53</t>
  </si>
  <si>
    <t>Property 55</t>
  </si>
  <si>
    <t>Property 56</t>
  </si>
  <si>
    <t>Property 57</t>
  </si>
  <si>
    <t>Property 58</t>
  </si>
  <si>
    <t>Property 59A</t>
  </si>
  <si>
    <t>Property 59B</t>
  </si>
  <si>
    <t>Property 59C</t>
  </si>
  <si>
    <t>Property 60</t>
  </si>
  <si>
    <t>Property 61</t>
  </si>
  <si>
    <t>Property 62</t>
  </si>
  <si>
    <t>Property 64</t>
  </si>
  <si>
    <t>Property 65</t>
  </si>
  <si>
    <t>Property 66</t>
  </si>
  <si>
    <t>Property 67</t>
  </si>
  <si>
    <t>Property 68</t>
  </si>
  <si>
    <t>Property 70</t>
  </si>
  <si>
    <t>Property 71</t>
  </si>
  <si>
    <t>Property 72</t>
  </si>
  <si>
    <t>Property 73</t>
  </si>
  <si>
    <t>Property 74</t>
  </si>
  <si>
    <t>Property 75</t>
  </si>
  <si>
    <t>Property 76</t>
  </si>
  <si>
    <t>Property 78</t>
  </si>
  <si>
    <t>Property 79</t>
  </si>
  <si>
    <t>Property 80</t>
  </si>
  <si>
    <t>Property 81</t>
  </si>
  <si>
    <t>Property 82</t>
  </si>
  <si>
    <t>Property 83</t>
  </si>
  <si>
    <t>Property 84</t>
  </si>
  <si>
    <t>Precinct 2 Road Reserves</t>
  </si>
  <si>
    <t>TOTAL AREA 2</t>
  </si>
  <si>
    <t>PRECINCT 3</t>
  </si>
  <si>
    <t>Property 86</t>
  </si>
  <si>
    <t>Property 87</t>
  </si>
  <si>
    <t>Property 88</t>
  </si>
  <si>
    <t>Property 101</t>
  </si>
  <si>
    <t>Property 102</t>
  </si>
  <si>
    <t>Property 103</t>
  </si>
  <si>
    <t>Property 111</t>
  </si>
  <si>
    <t>Property 112</t>
  </si>
  <si>
    <t>Property 113 (MAC) Part</t>
  </si>
  <si>
    <t>Property 114 (MAC) Part</t>
  </si>
  <si>
    <t>Property 115</t>
  </si>
  <si>
    <t>Property 124 (MAC) Part</t>
  </si>
  <si>
    <t>TOTAL AREA 3</t>
  </si>
  <si>
    <t>PRECINCT 4</t>
  </si>
  <si>
    <t>Property 89</t>
  </si>
  <si>
    <t>Property 90</t>
  </si>
  <si>
    <t>Property 91</t>
  </si>
  <si>
    <t>Property 92</t>
  </si>
  <si>
    <t>Property 93</t>
  </si>
  <si>
    <t>Property 94</t>
  </si>
  <si>
    <t>Property 95</t>
  </si>
  <si>
    <t>Property 96</t>
  </si>
  <si>
    <t>Property 97</t>
  </si>
  <si>
    <t>Property 98</t>
  </si>
  <si>
    <t>Property 99</t>
  </si>
  <si>
    <t>Property 100</t>
  </si>
  <si>
    <t>Property 104A</t>
  </si>
  <si>
    <t>Property 104B</t>
  </si>
  <si>
    <t>Property 104C</t>
  </si>
  <si>
    <t>Property 104D</t>
  </si>
  <si>
    <t>Property 104E</t>
  </si>
  <si>
    <t>Property 105</t>
  </si>
  <si>
    <t>Property 106</t>
  </si>
  <si>
    <t>Property 107</t>
  </si>
  <si>
    <t>Property 108</t>
  </si>
  <si>
    <t>Property 109</t>
  </si>
  <si>
    <t>Property 110</t>
  </si>
  <si>
    <t>Property 113 (Emp) Part</t>
  </si>
  <si>
    <t>Property 114 (Emp) Part</t>
  </si>
  <si>
    <t>Property 116</t>
  </si>
  <si>
    <t>Property 117</t>
  </si>
  <si>
    <t>Property 119</t>
  </si>
  <si>
    <t>Property 120</t>
  </si>
  <si>
    <t>Property 121</t>
  </si>
  <si>
    <t>Property 122</t>
  </si>
  <si>
    <t>Property 124 (Emp) Part</t>
  </si>
  <si>
    <t>Property 125</t>
  </si>
  <si>
    <t>Property 126</t>
  </si>
  <si>
    <t>Property 127</t>
  </si>
  <si>
    <t>Property 128</t>
  </si>
  <si>
    <t>Property 129</t>
  </si>
  <si>
    <t>Property 130</t>
  </si>
  <si>
    <t>Property 144</t>
  </si>
  <si>
    <t>TOTAL EMP AREA</t>
  </si>
  <si>
    <t>TOTAL PRECINCTS</t>
  </si>
  <si>
    <t>Table 3: Strategic Justification</t>
  </si>
  <si>
    <t>DCP PROJECT NO</t>
  </si>
  <si>
    <t>INFRASTRUCTURE CATEGORY</t>
  </si>
  <si>
    <t>TOTAL</t>
  </si>
  <si>
    <t>MAIN CATCHMENT AREA (MCA) DETERMINATION</t>
  </si>
  <si>
    <t>INDICATIVE PROVISION TRIGGER</t>
  </si>
  <si>
    <t>STRATEGIC JUSTIFICATION</t>
  </si>
  <si>
    <t>ROADS</t>
  </si>
  <si>
    <t>RD01</t>
  </si>
  <si>
    <t>Development</t>
  </si>
  <si>
    <t>Areas 1, 2, 3 and 4 form the MCA for this facility.</t>
  </si>
  <si>
    <t>As required by traffic/access demand</t>
  </si>
  <si>
    <t>RD01A</t>
  </si>
  <si>
    <t>As above</t>
  </si>
  <si>
    <t>RD02</t>
  </si>
  <si>
    <t xml:space="preserve">RD03 </t>
  </si>
  <si>
    <t xml:space="preserve">Development </t>
  </si>
  <si>
    <t xml:space="preserve">Areas 1, 2, 3 and 4 form the MCA for this facility. </t>
  </si>
  <si>
    <t xml:space="preserve">As required by traffic/access demand. </t>
  </si>
  <si>
    <t xml:space="preserve">As above </t>
  </si>
  <si>
    <t xml:space="preserve">RD03A </t>
  </si>
  <si>
    <t xml:space="preserve">RD04 </t>
  </si>
  <si>
    <t xml:space="preserve">RD04A </t>
  </si>
  <si>
    <t xml:space="preserve">RD05 </t>
  </si>
  <si>
    <t xml:space="preserve">RD05A </t>
  </si>
  <si>
    <t xml:space="preserve">RD06 </t>
  </si>
  <si>
    <t xml:space="preserve">RD06A </t>
  </si>
  <si>
    <t xml:space="preserve">RD07 </t>
  </si>
  <si>
    <t xml:space="preserve">RD07A </t>
  </si>
  <si>
    <t xml:space="preserve">RD08 </t>
  </si>
  <si>
    <t xml:space="preserve">RD08A </t>
  </si>
  <si>
    <t xml:space="preserve">RD09 </t>
  </si>
  <si>
    <t xml:space="preserve">RD10 </t>
  </si>
  <si>
    <t xml:space="preserve">RD11 </t>
  </si>
  <si>
    <t xml:space="preserve">RD11A </t>
  </si>
  <si>
    <t xml:space="preserve">RD11B </t>
  </si>
  <si>
    <t xml:space="preserve">RD12 </t>
  </si>
  <si>
    <t xml:space="preserve">RD14 </t>
  </si>
  <si>
    <t xml:space="preserve">RD15 </t>
  </si>
  <si>
    <t xml:space="preserve">RD16 </t>
  </si>
  <si>
    <t xml:space="preserve">RD17 </t>
  </si>
  <si>
    <t xml:space="preserve">RD17A </t>
  </si>
  <si>
    <t xml:space="preserve">RD18 </t>
  </si>
  <si>
    <t xml:space="preserve">RD18A </t>
  </si>
  <si>
    <t xml:space="preserve">RD18B </t>
  </si>
  <si>
    <t xml:space="preserve">RD19 </t>
  </si>
  <si>
    <t xml:space="preserve">RD19A </t>
  </si>
  <si>
    <t xml:space="preserve">RD20 </t>
  </si>
  <si>
    <t xml:space="preserve">RD20A </t>
  </si>
  <si>
    <t xml:space="preserve">RD21 </t>
  </si>
  <si>
    <t>INTERSECTIONS</t>
  </si>
  <si>
    <t xml:space="preserve">IT01 </t>
  </si>
  <si>
    <t xml:space="preserve">IT02 </t>
  </si>
  <si>
    <t xml:space="preserve">IT03 </t>
  </si>
  <si>
    <t xml:space="preserve">IT04 </t>
  </si>
  <si>
    <t xml:space="preserve">IT05 </t>
  </si>
  <si>
    <t xml:space="preserve">IT06 </t>
  </si>
  <si>
    <t xml:space="preserve">IT07 </t>
  </si>
  <si>
    <t xml:space="preserve">IT08 </t>
  </si>
  <si>
    <t xml:space="preserve">IT09 </t>
  </si>
  <si>
    <t xml:space="preserve">IT10 </t>
  </si>
  <si>
    <t xml:space="preserve">IT12 </t>
  </si>
  <si>
    <t xml:space="preserve">IT13 </t>
  </si>
  <si>
    <t xml:space="preserve">IT14 </t>
  </si>
  <si>
    <t xml:space="preserve">IT15 </t>
  </si>
  <si>
    <t xml:space="preserve">IT16 </t>
  </si>
  <si>
    <t xml:space="preserve">IT17 </t>
  </si>
  <si>
    <t xml:space="preserve">IT18 </t>
  </si>
  <si>
    <t xml:space="preserve">IT19 </t>
  </si>
  <si>
    <t xml:space="preserve">IT20 </t>
  </si>
  <si>
    <t xml:space="preserve">IT21 </t>
  </si>
  <si>
    <t xml:space="preserve">IT22 </t>
  </si>
  <si>
    <t xml:space="preserve">IT23 </t>
  </si>
  <si>
    <t xml:space="preserve">IT24 </t>
  </si>
  <si>
    <t xml:space="preserve">IT25 </t>
  </si>
  <si>
    <t xml:space="preserve">IT26 </t>
  </si>
  <si>
    <t xml:space="preserve">IT27 </t>
  </si>
  <si>
    <t xml:space="preserve">IT28 </t>
  </si>
  <si>
    <t>BRIDGES</t>
  </si>
  <si>
    <t xml:space="preserve">BD01 </t>
  </si>
  <si>
    <t xml:space="preserve">BD02 </t>
  </si>
  <si>
    <t xml:space="preserve">BD03 </t>
  </si>
  <si>
    <t xml:space="preserve">BD04 </t>
  </si>
  <si>
    <t xml:space="preserve">BD05 </t>
  </si>
  <si>
    <t xml:space="preserve">BD06 </t>
  </si>
  <si>
    <t xml:space="preserve">BD07 </t>
  </si>
  <si>
    <t xml:space="preserve">BD08 </t>
  </si>
  <si>
    <t xml:space="preserve">BD09 </t>
  </si>
  <si>
    <t xml:space="preserve">BD10 </t>
  </si>
  <si>
    <t xml:space="preserve">BD11 </t>
  </si>
  <si>
    <t xml:space="preserve">BD12 </t>
  </si>
  <si>
    <t xml:space="preserve">BD13 </t>
  </si>
  <si>
    <t xml:space="preserve">BD14 </t>
  </si>
  <si>
    <t>PUBLIC TRANSPORT</t>
  </si>
  <si>
    <t>PT01</t>
  </si>
  <si>
    <t>COMMUNITY AND INDOOR RECREATION FACILITIES</t>
  </si>
  <si>
    <t xml:space="preserve">CI01 </t>
  </si>
  <si>
    <t xml:space="preserve">At time of subdivision. </t>
  </si>
  <si>
    <t xml:space="preserve">CI02 </t>
  </si>
  <si>
    <t xml:space="preserve">CI03 </t>
  </si>
  <si>
    <t xml:space="preserve">Area 1 forms the MCA for this facility. </t>
  </si>
  <si>
    <t xml:space="preserve">No later than 800 occupied dwellings within its identified 3,000 dwelling catchment. </t>
  </si>
  <si>
    <t xml:space="preserve">CI04 </t>
  </si>
  <si>
    <t xml:space="preserve">Community </t>
  </si>
  <si>
    <t xml:space="preserve">CI06 </t>
  </si>
  <si>
    <t xml:space="preserve">CI07 </t>
  </si>
  <si>
    <t xml:space="preserve">CI09 </t>
  </si>
  <si>
    <t xml:space="preserve">Area 2 forms the MCA for this facility. </t>
  </si>
  <si>
    <t xml:space="preserve">CI10 </t>
  </si>
  <si>
    <t xml:space="preserve">CI12 </t>
  </si>
  <si>
    <t xml:space="preserve">CI13 </t>
  </si>
  <si>
    <t xml:space="preserve">CI15 </t>
  </si>
  <si>
    <t xml:space="preserve">CI16 </t>
  </si>
  <si>
    <t xml:space="preserve">CI18A </t>
  </si>
  <si>
    <t xml:space="preserve">CI18B </t>
  </si>
  <si>
    <t xml:space="preserve">Area 3 forms the MCA for this facility. </t>
  </si>
  <si>
    <t xml:space="preserve">CI19A </t>
  </si>
  <si>
    <t xml:space="preserve">CI19B </t>
  </si>
  <si>
    <t xml:space="preserve">CI20 </t>
  </si>
  <si>
    <t xml:space="preserve">Areas 2 and 3 form the MCA for this facility. </t>
  </si>
  <si>
    <t>OUTDOOR ACTIVE RECREATION</t>
  </si>
  <si>
    <t xml:space="preserve">AR01 </t>
  </si>
  <si>
    <t xml:space="preserve">Areas 1 and 2 form the MCA for this facility. </t>
  </si>
  <si>
    <t xml:space="preserve">Playing Fields: at time of subdivision; Tennis Courts: no later than 3,000 occupied dwellings within the designated tennis facility catchment. </t>
  </si>
  <si>
    <t xml:space="preserve">AR02 </t>
  </si>
  <si>
    <t xml:space="preserve">No later than 1,500 occupied dwellings within its identified 3,000 dwelling catchment. </t>
  </si>
  <si>
    <t xml:space="preserve">AR03 </t>
  </si>
  <si>
    <t xml:space="preserve">AR04 </t>
  </si>
  <si>
    <t xml:space="preserve">AR05 </t>
  </si>
  <si>
    <t xml:space="preserve">AR06 </t>
  </si>
  <si>
    <t xml:space="preserve">AR07 </t>
  </si>
  <si>
    <t xml:space="preserve">AR08 </t>
  </si>
  <si>
    <t xml:space="preserve">AR09 </t>
  </si>
  <si>
    <t xml:space="preserve">AR10 </t>
  </si>
  <si>
    <t xml:space="preserve">AR11 </t>
  </si>
  <si>
    <t xml:space="preserve">AR12 </t>
  </si>
  <si>
    <t xml:space="preserve">AR13 </t>
  </si>
  <si>
    <t xml:space="preserve">AR14 </t>
  </si>
  <si>
    <t xml:space="preserve">AR15A </t>
  </si>
  <si>
    <t xml:space="preserve">AR15B </t>
  </si>
  <si>
    <t xml:space="preserve">AR16 </t>
  </si>
  <si>
    <t>OFF-ROAD PEDESTRIAN AND CYCLE TRAILS</t>
  </si>
  <si>
    <t xml:space="preserve">TR01 </t>
  </si>
  <si>
    <t>Areas 1, 2, and 3 form the MCA for this facility.</t>
  </si>
  <si>
    <t>As required by access demand.</t>
  </si>
  <si>
    <t>STRUCTURE PLANNING</t>
  </si>
  <si>
    <t xml:space="preserve">PL01 </t>
  </si>
  <si>
    <t xml:space="preserve"># Includes contingency fee of 10% within construction cost. Includes design and project management fee of 10% within construction cost. </t>
  </si>
  <si>
    <t xml:space="preserve">¤ Includes contingency fee of 20% within construction cost. Includes design and project management fee of 10% within construction cost. </t>
  </si>
  <si>
    <t xml:space="preserve">• Includes contingency fee of 30% within construction cost. Includes design and project management fee of 10% within construction cost. </t>
  </si>
  <si>
    <t>UNENCUMBERED LOCAL ACTIVE OPEN SPACE</t>
  </si>
  <si>
    <t>OS01</t>
  </si>
  <si>
    <t>OS02</t>
  </si>
  <si>
    <t>OS03</t>
  </si>
  <si>
    <t>OS04</t>
  </si>
  <si>
    <t>OS05</t>
  </si>
  <si>
    <t>OS06</t>
  </si>
  <si>
    <t>OS07</t>
  </si>
  <si>
    <t>OS08</t>
  </si>
  <si>
    <t>OS09</t>
  </si>
  <si>
    <t>Table 4: Calculation of Costs</t>
  </si>
  <si>
    <t>ESTIMATED EXTERNAL USAGE %</t>
  </si>
  <si>
    <t>MAIN CATCHMENT AREA (MCA)</t>
  </si>
  <si>
    <t>DEVELOPMENT TYPES MAKING CONTRIBUTION</t>
  </si>
  <si>
    <t>NUMBER OF DEVELOPABLE HECTARES IN MCA</t>
  </si>
  <si>
    <t>CONTRIBUTION PER NET DEVELOPABLE HECTARE</t>
  </si>
  <si>
    <t>Areas 1, 2, 3 and 4</t>
  </si>
  <si>
    <t>Res. And Employ.</t>
  </si>
  <si>
    <t xml:space="preserve">Res.  </t>
  </si>
  <si>
    <t>Res.</t>
  </si>
  <si>
    <t xml:space="preserve">Areas 1 and 2 </t>
  </si>
  <si>
    <t>Areas 1 and 2</t>
  </si>
  <si>
    <t xml:space="preserve">Areas 1, 2 and 3 </t>
  </si>
  <si>
    <t xml:space="preserve">Area 1 </t>
  </si>
  <si>
    <t>Area 1</t>
  </si>
  <si>
    <t>Area 2</t>
  </si>
  <si>
    <t>Area 3</t>
  </si>
  <si>
    <t xml:space="preserve">Areas 2 and 3  </t>
  </si>
  <si>
    <t>Funded via the CIL</t>
  </si>
  <si>
    <t xml:space="preserve">Areas 1 and 2  </t>
  </si>
  <si>
    <t>Areas 2 and 3</t>
  </si>
  <si>
    <t>Table 5: Schedule of Costs</t>
  </si>
  <si>
    <t xml:space="preserve">RD01 </t>
  </si>
  <si>
    <t xml:space="preserve">RD01A </t>
  </si>
  <si>
    <t xml:space="preserve">RD02 </t>
  </si>
  <si>
    <t>RD10</t>
  </si>
  <si>
    <t>RD11</t>
  </si>
  <si>
    <t>RD12</t>
  </si>
  <si>
    <t>RD14</t>
  </si>
  <si>
    <t>RD15</t>
  </si>
  <si>
    <t>RD16</t>
  </si>
  <si>
    <t>RD17</t>
  </si>
  <si>
    <t xml:space="preserve">PT01 </t>
  </si>
  <si>
    <t xml:space="preserve"> </t>
  </si>
  <si>
    <t xml:space="preserve">OS01 </t>
  </si>
  <si>
    <t xml:space="preserve">OS02 </t>
  </si>
  <si>
    <t xml:space="preserve">OS03 </t>
  </si>
  <si>
    <t xml:space="preserve">OS04 </t>
  </si>
  <si>
    <t xml:space="preserve">OS05 </t>
  </si>
  <si>
    <t xml:space="preserve">OS06 </t>
  </si>
  <si>
    <t xml:space="preserve">OS07 </t>
  </si>
  <si>
    <t xml:space="preserve">OS08 </t>
  </si>
  <si>
    <t xml:space="preserve">OS09 </t>
  </si>
  <si>
    <t xml:space="preserve">OFF-ROAD PEDESTRIAN &amp; CYCLE TRAILS </t>
  </si>
  <si>
    <t xml:space="preserve">STRUCTURE PLANNING </t>
  </si>
  <si>
    <t>Table 6: Summary of Charges</t>
  </si>
  <si>
    <t>CHARGE AREA 1 (RESIDENTIAL)</t>
  </si>
  <si>
    <t>CHARGE AREA 2 (RESIDENTIAL)</t>
  </si>
  <si>
    <t>CHARGE AREA 3 (RESIDENTIAL)</t>
  </si>
  <si>
    <t>CHARGE AREA 4 (EMPLOYMENT)</t>
  </si>
  <si>
    <t>Table 7: Items for Direct Delivery</t>
  </si>
  <si>
    <t>PROJECT DESCRIPTION</t>
  </si>
  <si>
    <t>RD03</t>
  </si>
  <si>
    <t>RD04</t>
  </si>
  <si>
    <t>RD05</t>
  </si>
  <si>
    <t>RD06</t>
  </si>
  <si>
    <t>RD07</t>
  </si>
  <si>
    <t>RD08</t>
  </si>
  <si>
    <t>RD09</t>
  </si>
  <si>
    <t>RD18</t>
  </si>
  <si>
    <t>RD19</t>
  </si>
  <si>
    <t>RD20</t>
  </si>
  <si>
    <t>RD21</t>
  </si>
  <si>
    <t>IT01</t>
  </si>
  <si>
    <t>IT02</t>
  </si>
  <si>
    <t>IT03</t>
  </si>
  <si>
    <t>IT04</t>
  </si>
  <si>
    <t>IT05</t>
  </si>
  <si>
    <t>IT06</t>
  </si>
  <si>
    <t>IT07</t>
  </si>
  <si>
    <t>IT08</t>
  </si>
  <si>
    <t>IT09</t>
  </si>
  <si>
    <t>IT10</t>
  </si>
  <si>
    <t>IT12</t>
  </si>
  <si>
    <t>IT13</t>
  </si>
  <si>
    <t>IT14</t>
  </si>
  <si>
    <t>IT15</t>
  </si>
  <si>
    <t>IT16</t>
  </si>
  <si>
    <t>IT17</t>
  </si>
  <si>
    <t>IT18</t>
  </si>
  <si>
    <t>IT19</t>
  </si>
  <si>
    <t>IT20</t>
  </si>
  <si>
    <t>IT21</t>
  </si>
  <si>
    <t>IT22</t>
  </si>
  <si>
    <t>IT23</t>
  </si>
  <si>
    <t>IT24</t>
  </si>
  <si>
    <t>IT25</t>
  </si>
  <si>
    <t>IT26</t>
  </si>
  <si>
    <t>IT27</t>
  </si>
  <si>
    <t>IT28</t>
  </si>
  <si>
    <t>BD01</t>
  </si>
  <si>
    <t>BD02</t>
  </si>
  <si>
    <t>BD03</t>
  </si>
  <si>
    <t>BD04</t>
  </si>
  <si>
    <t>BD05</t>
  </si>
  <si>
    <t>BD06</t>
  </si>
  <si>
    <t>BD07</t>
  </si>
  <si>
    <t>BD08</t>
  </si>
  <si>
    <t>BD09</t>
  </si>
  <si>
    <t>BD10</t>
  </si>
  <si>
    <t>BD11</t>
  </si>
  <si>
    <t>BD12</t>
  </si>
  <si>
    <t>BD13</t>
  </si>
  <si>
    <t>BD14</t>
  </si>
  <si>
    <t>AR01</t>
  </si>
  <si>
    <t>AR02</t>
  </si>
  <si>
    <t>AR03</t>
  </si>
  <si>
    <t>AR04</t>
  </si>
  <si>
    <t>AR05</t>
  </si>
  <si>
    <t>AR06</t>
  </si>
  <si>
    <t>AR07</t>
  </si>
  <si>
    <t>AR08</t>
  </si>
  <si>
    <t>AR09</t>
  </si>
  <si>
    <t>AR10</t>
  </si>
  <si>
    <t>AR11</t>
  </si>
  <si>
    <t>AR12</t>
  </si>
  <si>
    <t>AR13</t>
  </si>
  <si>
    <t>AR14</t>
  </si>
  <si>
    <t>AR15A</t>
  </si>
  <si>
    <t>AR15B</t>
  </si>
  <si>
    <t>AR16</t>
  </si>
  <si>
    <t>TR01</t>
  </si>
  <si>
    <t>AB9 = rounding error</t>
  </si>
  <si>
    <t>AB10 = rounding error</t>
  </si>
  <si>
    <t>AB11 = rounding error</t>
  </si>
  <si>
    <t>AB84 = rounding error</t>
  </si>
  <si>
    <t>AB89 = rounding error</t>
  </si>
  <si>
    <t>This MCA applies to all road, intersection, bridge, public transport and structure planning projects, and purchase of land for the Major Activity Centre public open space (OS09).</t>
  </si>
  <si>
    <t>AA193 = wrong figure in DCP</t>
  </si>
  <si>
    <t>CI03</t>
  </si>
  <si>
    <t>CI04</t>
  </si>
  <si>
    <t>CI06</t>
  </si>
  <si>
    <t>Construction from ASR Research
November 2020</t>
  </si>
  <si>
    <t>IT29</t>
  </si>
  <si>
    <t>IT30</t>
  </si>
  <si>
    <t>IT31</t>
  </si>
  <si>
    <t>IT32</t>
  </si>
  <si>
    <t>BD15</t>
  </si>
  <si>
    <t>BD16</t>
  </si>
  <si>
    <t>BD17</t>
  </si>
  <si>
    <t>BD18</t>
  </si>
  <si>
    <t>RD22</t>
  </si>
  <si>
    <t>RD23</t>
  </si>
  <si>
    <t>RD24</t>
  </si>
  <si>
    <t>Constructed</t>
  </si>
  <si>
    <t>BD19</t>
  </si>
  <si>
    <t>BD20</t>
  </si>
  <si>
    <t>BD21</t>
  </si>
  <si>
    <t>CI05</t>
  </si>
  <si>
    <t>CI08</t>
  </si>
  <si>
    <t>CI11</t>
  </si>
  <si>
    <t>CI14</t>
  </si>
  <si>
    <t>CI17</t>
  </si>
  <si>
    <t>No money for construction</t>
  </si>
  <si>
    <t xml:space="preserve">Areas 1, 2 and 3 form the MCA for this facility. </t>
  </si>
  <si>
    <t>-</t>
  </si>
  <si>
    <t>DCP Project Number</t>
  </si>
  <si>
    <t>Project Description</t>
  </si>
  <si>
    <t>Road Projects</t>
  </si>
  <si>
    <t>Construction</t>
  </si>
  <si>
    <t>I8 = rounding error</t>
  </si>
  <si>
    <t>I9 = rounding error</t>
  </si>
  <si>
    <t>I23 = rounding error</t>
  </si>
  <si>
    <t>I24 = rounding error</t>
  </si>
  <si>
    <t>P38 = error in formula</t>
  </si>
  <si>
    <t>Q43 = rounding error</t>
  </si>
  <si>
    <t>AA115 = rounding error</t>
  </si>
  <si>
    <t xml:space="preserve">Res. and Employ. </t>
  </si>
  <si>
    <t xml:space="preserve">Areas 1, 2, 3 and 4 </t>
  </si>
  <si>
    <t>Y49 = error in formula</t>
  </si>
  <si>
    <t>Funded via CIL</t>
  </si>
  <si>
    <t>CI07</t>
  </si>
  <si>
    <t>CI09</t>
  </si>
  <si>
    <t>CI10</t>
  </si>
  <si>
    <t>CI12</t>
  </si>
  <si>
    <t>CI13</t>
  </si>
  <si>
    <t>CI15</t>
  </si>
  <si>
    <t>CI16</t>
  </si>
  <si>
    <t>Removed</t>
  </si>
  <si>
    <t>Intersection Projects</t>
  </si>
  <si>
    <t>Bridge Projects</t>
  </si>
  <si>
    <t>Land</t>
  </si>
  <si>
    <r>
      <rPr>
        <b/>
        <sz val="9"/>
        <color theme="1"/>
        <rFont val="Calibri"/>
        <family val="2"/>
        <scheme val="minor"/>
      </rPr>
      <t>Plan Preparation</t>
    </r>
    <r>
      <rPr>
        <sz val="9"/>
        <color theme="1"/>
        <rFont val="Calibri"/>
        <family val="2"/>
        <scheme val="minor"/>
      </rPr>
      <t xml:space="preserve">
Preparation of Precinct Structure Plan and Development Contributions Plan. </t>
    </r>
  </si>
  <si>
    <t>Rees Road: Coburns Road (PSP boundary) to East West Arterial (IT01)
Offset cost estimate associated with removal of scattered trees for RD01.</t>
  </si>
  <si>
    <t xml:space="preserve">Exford Road: East West Arterial (IT02) to Toolern Road (IT03)
Offset cost estimate associated with removal of scattered trees for RD03. </t>
  </si>
  <si>
    <t xml:space="preserve">Exford Road: Toolern Road (IT03) to Greigs Road (IT04)
Offset cost estimate associated with removal of scattered trees for RD04. </t>
  </si>
  <si>
    <t xml:space="preserve">Mount Cottrell Road: Melbourne Ballarat Rail Line to PSP southern  boundary
Offset cost estimate associated with removal of scattered trees for RD11. </t>
  </si>
  <si>
    <t xml:space="preserve">Mount Cottrell Road: Melbourne Ballarat Rail Line to PSP southern  boundary
Offset cost estimate associated with removal of EVC for RD11. </t>
  </si>
  <si>
    <t xml:space="preserve">Abey Road: Toolern Creek (BD01) to Ferris Road (IT13) 
Offset cost estimate associated with removal of scattered trees for RD18. </t>
  </si>
  <si>
    <t xml:space="preserve">Abey Road: Toolern Creek (BD01) to Ferris Road (IT13) 
Offset cost estimate associated with removal of EVC for RD18. </t>
  </si>
  <si>
    <t xml:space="preserve">Shogaki Drive: Industrial Connector Road (IT12) to Mount Cottrell Road (IT10)
Offset cost estimate associated with removal of EVC for RD19. </t>
  </si>
  <si>
    <t>Construction value indexed in 2020</t>
  </si>
  <si>
    <t>Construction value from Cardno</t>
  </si>
  <si>
    <t>Toolern Precinct Structure Plan Transport Modelling Report, Veitch Lister Consulting, September 2008; and
Toolern Precinct Structure Plan Transport and Movement Study, Booz &amp; Co, February 2008.</t>
  </si>
  <si>
    <t>Rockbank Precinct Structure Plan Transport Modelling Assessment, Jacobs, September 2014; and
Rockbank Precinct Structure Plan Transport Project Costing Sheets, SMEC, July 2015</t>
  </si>
  <si>
    <t>Rockbank Precinct Structure Plan Transport Modelling Assessment, Jacobs, September 2014;
Rockbank Precinct Structure Plan Transport Project Costing Sheets, SMEC, July 2015; and
Rockbank Development Contributions Plan, VPA, August 2016</t>
  </si>
  <si>
    <t>Paynes Road Precinct Structure Plan Transport Modelling Assessment, Jacobs September 2014; and
Paynes Road Precinct Structure Plan, VPA, February 2016</t>
  </si>
  <si>
    <t>Cobblebank Metropolitan Activity Centre Urban Design Framework Movement and Transport Technical Report, GTA Consultants, November 2017; and
Cobblebank Metropolitan Activity Centre Urban Design Framework, Tract, November 2019</t>
  </si>
  <si>
    <r>
      <rPr>
        <b/>
        <sz val="9"/>
        <color theme="1"/>
        <rFont val="Calibri"/>
        <family val="2"/>
        <scheme val="minor"/>
      </rPr>
      <t xml:space="preserve">Ferris Road: Western Freeway to Shogaki Drive (IT13) </t>
    </r>
    <r>
      <rPr>
        <sz val="9"/>
        <color theme="1"/>
        <rFont val="Calibri"/>
        <family val="2"/>
        <scheme val="minor"/>
      </rPr>
      <t xml:space="preserve">
Construction of additional lane in either direction to existing 4-lane divided road to provide ultimate 6-lane divided arterial road (ultimate layout). 
Purchase land to increase reserve width from 34m to 45m (ultimate).  </t>
    </r>
  </si>
  <si>
    <r>
      <rPr>
        <b/>
        <sz val="9"/>
        <color theme="1"/>
        <rFont val="Calibri"/>
        <family val="2"/>
        <scheme val="minor"/>
      </rPr>
      <t>Ferris Road: Abey Road (IT13) to Melbourne Ballarat Rail Line</t>
    </r>
    <r>
      <rPr>
        <sz val="9"/>
        <color theme="1"/>
        <rFont val="Calibri"/>
        <family val="2"/>
        <scheme val="minor"/>
      </rPr>
      <t xml:space="preserve">
Construction of a 2-lane arterial road (interim layout). 
Purchase land to increase reserve width from 34m to 38m (ultimate). </t>
    </r>
  </si>
  <si>
    <r>
      <rPr>
        <b/>
        <sz val="9"/>
        <color theme="1"/>
        <rFont val="Calibri"/>
        <family val="2"/>
        <scheme val="minor"/>
      </rPr>
      <t xml:space="preserve">Abey Road: Toolern Creek (BD01) to Ferris Road (IT13) </t>
    </r>
    <r>
      <rPr>
        <sz val="9"/>
        <color theme="1"/>
        <rFont val="Calibri"/>
        <family val="2"/>
        <scheme val="minor"/>
      </rPr>
      <t xml:space="preserve">
Construction of a 2-lane arterial road (interim layout).
Purchase land to increase reserve with from 19m to 38m (ultimate).  </t>
    </r>
  </si>
  <si>
    <r>
      <rPr>
        <b/>
        <sz val="9"/>
        <color theme="1"/>
        <rFont val="Calibri"/>
        <family val="2"/>
        <scheme val="minor"/>
      </rPr>
      <t>Shogaki Drive: Industrial Connector Road (IT12) to Mount Cottrell Road (IT10)</t>
    </r>
    <r>
      <rPr>
        <sz val="9"/>
        <color theme="1"/>
        <rFont val="Calibri"/>
        <family val="2"/>
        <scheme val="minor"/>
      </rPr>
      <t xml:space="preserve">
Construction of a 2-lane arterial road (interim layout). 
Purchase land to increase reserve width from 0m to 45m (ultimate). </t>
    </r>
  </si>
  <si>
    <r>
      <rPr>
        <b/>
        <sz val="9"/>
        <color theme="1"/>
        <rFont val="Calibri"/>
        <family val="2"/>
        <scheme val="minor"/>
      </rPr>
      <t>Paynes Road: Alfred Road (IT30) to East-West Connector Road 1 (IT31)</t>
    </r>
    <r>
      <rPr>
        <sz val="9"/>
        <color theme="1"/>
        <rFont val="Calibri"/>
        <family val="2"/>
        <scheme val="minor"/>
      </rPr>
      <t xml:space="preserve">
Construction of a 2-lane arterial road (interim standard).</t>
    </r>
  </si>
  <si>
    <r>
      <rPr>
        <b/>
        <sz val="9"/>
        <color rgb="FF000000"/>
        <rFont val="Calibri"/>
        <family val="2"/>
        <scheme val="minor"/>
      </rPr>
      <t>Intersection: Rees Road and East West Arterial</t>
    </r>
    <r>
      <rPr>
        <sz val="9"/>
        <color rgb="FF000000"/>
        <rFont val="Calibri"/>
        <family val="2"/>
        <scheme val="minor"/>
      </rPr>
      <t xml:space="preserve">
Construction of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</si>
  <si>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East West Arterial and Exford Road</t>
    </r>
    <r>
      <rPr>
        <sz val="9"/>
        <color rgb="FF000000"/>
        <rFont val="Calibri"/>
        <family val="2"/>
        <scheme val="minor"/>
      </rPr>
      <t xml:space="preserve">
Construction of signalised T-intersection (interim standard). </t>
    </r>
  </si>
  <si>
    <r>
      <rPr>
        <b/>
        <sz val="9"/>
        <color rgb="FF000000"/>
        <rFont val="Calibri"/>
        <family val="2"/>
        <scheme val="minor"/>
      </rPr>
      <t>Intersection: Exford Road and Greigs Road</t>
    </r>
    <r>
      <rPr>
        <sz val="9"/>
        <color rgb="FF000000"/>
        <rFont val="Calibri"/>
        <family val="2"/>
        <scheme val="minor"/>
      </rPr>
      <t xml:space="preserve">
Upgrade of protected right-turn lane and left-turn deceleration lane, including drainage and landscaping.  </t>
    </r>
  </si>
  <si>
    <r>
      <rPr>
        <b/>
        <sz val="9"/>
        <color rgb="FF000000"/>
        <rFont val="Calibri"/>
        <family val="2"/>
        <scheme val="minor"/>
      </rPr>
      <t xml:space="preserve">Intersection: Shogaki Drive and Industrial Connector Road </t>
    </r>
    <r>
      <rPr>
        <sz val="9"/>
        <color rgb="FF000000"/>
        <rFont val="Calibri"/>
        <family val="2"/>
        <scheme val="minor"/>
      </rPr>
      <t xml:space="preserve">
Construction of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</si>
  <si>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Ferris Road and Hollingsworth Drive</t>
    </r>
    <r>
      <rPr>
        <sz val="9"/>
        <color rgb="FF000000"/>
        <rFont val="Calibri"/>
        <family val="2"/>
        <scheme val="minor"/>
      </rPr>
      <t xml:space="preserve"> 
Construction of signalised T-intersection (interim standard).</t>
    </r>
  </si>
  <si>
    <r>
      <rPr>
        <b/>
        <sz val="9"/>
        <color rgb="FF000000"/>
        <rFont val="Calibri"/>
        <family val="2"/>
        <scheme val="minor"/>
      </rPr>
      <t>Intersection: Ferris Road and Bridge Road</t>
    </r>
    <r>
      <rPr>
        <sz val="9"/>
        <color rgb="FF000000"/>
        <rFont val="Calibri"/>
        <family val="2"/>
        <scheme val="minor"/>
      </rPr>
      <t xml:space="preserve">
Construction of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</si>
  <si>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Abey Road and Industrial Connector Road</t>
    </r>
    <r>
      <rPr>
        <sz val="9"/>
        <color rgb="FF000000"/>
        <rFont val="Calibri"/>
        <family val="2"/>
        <scheme val="minor"/>
      </rPr>
      <t xml:space="preserve">
Construction of a signalised T-intersection (interim standard). </t>
    </r>
  </si>
  <si>
    <r>
      <rPr>
        <b/>
        <sz val="9"/>
        <color rgb="FF000000"/>
        <rFont val="Calibri"/>
        <family val="2"/>
        <scheme val="minor"/>
      </rPr>
      <t>Intersection: Abey Road and Bundy Drive</t>
    </r>
    <r>
      <rPr>
        <sz val="9"/>
        <color rgb="FF000000"/>
        <rFont val="Calibri"/>
        <family val="2"/>
        <scheme val="minor"/>
      </rPr>
      <t xml:space="preserve">
Construction of signalised T-intersection (interim standard).</t>
    </r>
  </si>
  <si>
    <r>
      <rPr>
        <b/>
        <sz val="9"/>
        <color rgb="FF000000"/>
        <rFont val="Calibri"/>
        <family val="2"/>
        <scheme val="minor"/>
      </rPr>
      <t>Intersection: Ferris Road and Shakamaker Drive</t>
    </r>
    <r>
      <rPr>
        <sz val="9"/>
        <color rgb="FF000000"/>
        <rFont val="Calibri"/>
        <family val="2"/>
        <scheme val="minor"/>
      </rPr>
      <t xml:space="preserve">
Construction of signalised 4-way intersection (ultimate standard).</t>
    </r>
  </si>
  <si>
    <r>
      <rPr>
        <b/>
        <sz val="9"/>
        <color rgb="FF000000"/>
        <rFont val="Calibri"/>
        <family val="2"/>
        <scheme val="minor"/>
      </rPr>
      <t>Intersection: Mount Cottrell Road and Southern Connector Road</t>
    </r>
    <r>
      <rPr>
        <sz val="9"/>
        <color rgb="FF000000"/>
        <rFont val="Calibri"/>
        <family val="2"/>
        <scheme val="minor"/>
      </rPr>
      <t xml:space="preserve">
Construction of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</si>
  <si>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Mount Cottrell Road and Bridge Road</t>
    </r>
    <r>
      <rPr>
        <sz val="9"/>
        <color rgb="FF000000"/>
        <rFont val="Calibri"/>
        <family val="2"/>
        <scheme val="minor"/>
      </rPr>
      <t xml:space="preserve">
Construction of signalised T-intersection (interim standard).</t>
    </r>
  </si>
  <si>
    <r>
      <rPr>
        <b/>
        <sz val="9"/>
        <color rgb="FF000000"/>
        <rFont val="Calibri"/>
        <family val="2"/>
        <scheme val="minor"/>
      </rPr>
      <t>Intersection: Mount Cottrell Road and Alfred Road</t>
    </r>
    <r>
      <rPr>
        <sz val="9"/>
        <color rgb="FF000000"/>
        <rFont val="Calibri"/>
        <family val="2"/>
        <scheme val="minor"/>
      </rPr>
      <t xml:space="preserve">
Construction of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</si>
  <si>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Ferris Road and Alfred Road</t>
    </r>
    <r>
      <rPr>
        <sz val="9"/>
        <color rgb="FF000000"/>
        <rFont val="Calibri"/>
        <family val="2"/>
        <scheme val="minor"/>
      </rPr>
      <t xml:space="preserve">
Construction of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</si>
  <si>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Ferris Road and Southern Connector Road</t>
    </r>
    <r>
      <rPr>
        <sz val="9"/>
        <color rgb="FF000000"/>
        <rFont val="Calibri"/>
        <family val="2"/>
        <scheme val="minor"/>
      </rPr>
      <t xml:space="preserve">
Construction of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</si>
  <si>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Ferris Road and Enterprise Street</t>
    </r>
    <r>
      <rPr>
        <sz val="9"/>
        <color rgb="FF000000"/>
        <rFont val="Calibri"/>
        <family val="2"/>
        <scheme val="minor"/>
      </rPr>
      <t xml:space="preserve">
Construction of a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</si>
  <si>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Paynes Road and Alfred Road</t>
    </r>
    <r>
      <rPr>
        <sz val="9"/>
        <color rgb="FF000000"/>
        <rFont val="Calibri"/>
        <family val="2"/>
        <scheme val="minor"/>
      </rPr>
      <t xml:space="preserve">
Construction of a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</si>
  <si>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Paynes Road and East-West Connector Road 1</t>
    </r>
    <r>
      <rPr>
        <sz val="9"/>
        <color rgb="FF000000"/>
        <rFont val="Calibri"/>
        <family val="2"/>
        <scheme val="minor"/>
      </rPr>
      <t xml:space="preserve">
Construction of a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</si>
  <si>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Paynes Road and East-West Connector Road 2</t>
    </r>
    <r>
      <rPr>
        <sz val="9"/>
        <color rgb="FF000000"/>
        <rFont val="Calibri"/>
        <family val="2"/>
        <scheme val="minor"/>
      </rPr>
      <t xml:space="preserve">
Construction of a signalised 3-way intersection (interim standard).</t>
    </r>
  </si>
  <si>
    <r>
      <rPr>
        <b/>
        <sz val="9"/>
        <color theme="1"/>
        <rFont val="Calibri"/>
        <family val="2"/>
        <scheme val="minor"/>
      </rPr>
      <t>Abey Road Bridge</t>
    </r>
    <r>
      <rPr>
        <sz val="9"/>
        <color theme="1"/>
        <rFont val="Calibri"/>
        <family val="2"/>
        <scheme val="minor"/>
      </rPr>
      <t xml:space="preserve">
Construction of an arterial road bridge over the Toolern Creek.</t>
    </r>
  </si>
  <si>
    <r>
      <rPr>
        <b/>
        <sz val="9"/>
        <color theme="1"/>
        <rFont val="Calibri"/>
        <family val="2"/>
        <scheme val="minor"/>
      </rPr>
      <t>Bridge Road Bridge</t>
    </r>
    <r>
      <rPr>
        <sz val="9"/>
        <color theme="1"/>
        <rFont val="Calibri"/>
        <family val="2"/>
        <scheme val="minor"/>
      </rPr>
      <t xml:space="preserve">
Construction of a connector road bridge over the Toolern Creek.</t>
    </r>
  </si>
  <si>
    <r>
      <rPr>
        <b/>
        <sz val="9"/>
        <color theme="1"/>
        <rFont val="Calibri"/>
        <family val="2"/>
        <scheme val="minor"/>
      </rPr>
      <t>Pedestrian Underpass 1: Melbourne Ballarat Railway</t>
    </r>
    <r>
      <rPr>
        <sz val="9"/>
        <color theme="1"/>
        <rFont val="Calibri"/>
        <family val="2"/>
        <scheme val="minor"/>
      </rPr>
      <t xml:space="preserve">
Construction of a pedestrian underpass.</t>
    </r>
  </si>
  <si>
    <r>
      <rPr>
        <b/>
        <sz val="9"/>
        <color theme="1"/>
        <rFont val="Calibri"/>
        <family val="2"/>
        <scheme val="minor"/>
      </rPr>
      <t>Pedestrian Underpass 2: Melbourne Ballarat Railway</t>
    </r>
    <r>
      <rPr>
        <sz val="9"/>
        <color theme="1"/>
        <rFont val="Calibri"/>
        <family val="2"/>
        <scheme val="minor"/>
      </rPr>
      <t xml:space="preserve">
Construction of a pedestrian underpass.</t>
    </r>
  </si>
  <si>
    <r>
      <rPr>
        <b/>
        <sz val="9"/>
        <color theme="1"/>
        <rFont val="Calibri"/>
        <family val="2"/>
        <scheme val="minor"/>
      </rPr>
      <t>Bus Interchange</t>
    </r>
    <r>
      <rPr>
        <sz val="9"/>
        <color theme="1"/>
        <rFont val="Calibri"/>
        <family val="2"/>
        <scheme val="minor"/>
      </rPr>
      <t xml:space="preserve">
Purchase land to provide for Local Bus Interchange (1 Hectare)</t>
    </r>
  </si>
  <si>
    <r>
      <rPr>
        <b/>
        <sz val="9"/>
        <color theme="1"/>
        <rFont val="Calibri"/>
        <family val="2"/>
        <scheme val="minor"/>
      </rPr>
      <t>Cobblebank Higher Order Civic Facility</t>
    </r>
    <r>
      <rPr>
        <sz val="9"/>
        <color theme="1"/>
        <rFont val="Calibri"/>
        <family val="2"/>
        <scheme val="minor"/>
      </rPr>
      <t xml:space="preserve">
Higher Order Civic Facility, including a Level 3 Community Centre, located within the Metropolitan Activity Centre.</t>
    </r>
  </si>
  <si>
    <r>
      <rPr>
        <b/>
        <sz val="9"/>
        <color theme="1"/>
        <rFont val="Calibri"/>
        <family val="2"/>
        <scheme val="minor"/>
      </rPr>
      <t>Cobblebank Indoor Recreation Centre</t>
    </r>
    <r>
      <rPr>
        <sz val="9"/>
        <color theme="1"/>
        <rFont val="Calibri"/>
        <family val="2"/>
        <scheme val="minor"/>
      </rPr>
      <t xml:space="preserve">
Indoor Recreation Centre located within the Metropolitan Activity Centre.</t>
    </r>
  </si>
  <si>
    <r>
      <rPr>
        <b/>
        <sz val="9"/>
        <color theme="1"/>
        <rFont val="Calibri"/>
        <family val="2"/>
        <scheme val="minor"/>
      </rPr>
      <t>Weir Views East Sports Reserve Pavilion</t>
    </r>
    <r>
      <rPr>
        <sz val="9"/>
        <color theme="1"/>
        <rFont val="Calibri"/>
        <family val="2"/>
        <scheme val="minor"/>
      </rPr>
      <t xml:space="preserve">
Construction of a pavilion, including all building works, landscaping and related infrastructure</t>
    </r>
  </si>
  <si>
    <r>
      <rPr>
        <b/>
        <sz val="9"/>
        <color theme="1"/>
        <rFont val="Calibri"/>
        <family val="2"/>
        <scheme val="minor"/>
      </rPr>
      <t>Weir Views North Sports Reserve</t>
    </r>
    <r>
      <rPr>
        <sz val="9"/>
        <color theme="1"/>
        <rFont val="Calibri"/>
        <family val="2"/>
        <scheme val="minor"/>
      </rPr>
      <t xml:space="preserve">
Purchase of 9.83 hectares of land for active open space for AR01 and AR02</t>
    </r>
  </si>
  <si>
    <r>
      <rPr>
        <b/>
        <sz val="9"/>
        <color theme="1"/>
        <rFont val="Calibri"/>
        <family val="2"/>
        <scheme val="minor"/>
      </rPr>
      <t>Weir Views East Sports Reserve</t>
    </r>
    <r>
      <rPr>
        <sz val="9"/>
        <color theme="1"/>
        <rFont val="Calibri"/>
        <family val="2"/>
        <scheme val="minor"/>
      </rPr>
      <t xml:space="preserve">
Purchase of 4.00 hectares of land for active open space for AR03 and AR04</t>
    </r>
  </si>
  <si>
    <r>
      <rPr>
        <b/>
        <sz val="9"/>
        <color theme="1"/>
        <rFont val="Calibri"/>
        <family val="2"/>
        <scheme val="minor"/>
      </rPr>
      <t>Strathtulloh Sports Reserve</t>
    </r>
    <r>
      <rPr>
        <sz val="9"/>
        <color theme="1"/>
        <rFont val="Calibri"/>
        <family val="2"/>
        <scheme val="minor"/>
      </rPr>
      <t xml:space="preserve">
Purchase of 8.62 hectares of land for active open space for AR07 and AR08</t>
    </r>
  </si>
  <si>
    <r>
      <rPr>
        <b/>
        <sz val="9"/>
        <color theme="1"/>
        <rFont val="Calibri"/>
        <family val="2"/>
        <scheme val="minor"/>
      </rPr>
      <t>Thornhill Park Sports Reserve</t>
    </r>
    <r>
      <rPr>
        <sz val="9"/>
        <color theme="1"/>
        <rFont val="Calibri"/>
        <family val="2"/>
        <scheme val="minor"/>
      </rPr>
      <t xml:space="preserve">
Purchase of 8.69 hectares of land for active open space for AR09 and AR10</t>
    </r>
  </si>
  <si>
    <r>
      <rPr>
        <b/>
        <sz val="9"/>
        <color theme="1"/>
        <rFont val="Calibri"/>
        <family val="2"/>
        <scheme val="minor"/>
      </rPr>
      <t>Cobblebank East Sports Reserve</t>
    </r>
    <r>
      <rPr>
        <sz val="9"/>
        <color theme="1"/>
        <rFont val="Calibri"/>
        <family val="2"/>
        <scheme val="minor"/>
      </rPr>
      <t xml:space="preserve">
Purchase of 4.56 hectares of land for active open space for AR11 and AR12</t>
    </r>
  </si>
  <si>
    <r>
      <rPr>
        <b/>
        <sz val="9"/>
        <color theme="1"/>
        <rFont val="Calibri"/>
        <family val="2"/>
        <scheme val="minor"/>
      </rPr>
      <t>Cobblebank MAC Open Space</t>
    </r>
    <r>
      <rPr>
        <sz val="9"/>
        <color theme="1"/>
        <rFont val="Calibri"/>
        <family val="2"/>
        <scheme val="minor"/>
      </rPr>
      <t xml:space="preserve">
Purchase of 1.0 hectare for Metropolitan Activity Centre Public Open Space</t>
    </r>
  </si>
  <si>
    <r>
      <rPr>
        <b/>
        <sz val="9"/>
        <color theme="1"/>
        <rFont val="Calibri"/>
        <family val="2"/>
        <scheme val="minor"/>
      </rPr>
      <t>Weir Views North Community Centre</t>
    </r>
    <r>
      <rPr>
        <sz val="9"/>
        <color theme="1"/>
        <rFont val="Calibri"/>
        <family val="2"/>
        <scheme val="minor"/>
      </rPr>
      <t xml:space="preserve">
Purchase of land and construction of a multi-purpose community centre (Level 1) in </t>
    </r>
    <r>
      <rPr>
        <b/>
        <sz val="9"/>
        <color theme="1"/>
        <rFont val="Calibri"/>
        <family val="2"/>
        <scheme val="minor"/>
      </rPr>
      <t>Community Hub 1</t>
    </r>
    <r>
      <rPr>
        <sz val="9"/>
        <color theme="1"/>
        <rFont val="Calibri"/>
        <family val="2"/>
        <scheme val="minor"/>
      </rPr>
      <t xml:space="preserve"> - early childhood rooms component - including kindergarten and maternal health.</t>
    </r>
  </si>
  <si>
    <r>
      <rPr>
        <b/>
        <sz val="9"/>
        <color theme="1"/>
        <rFont val="Calibri"/>
        <family val="2"/>
        <scheme val="minor"/>
      </rPr>
      <t>Weir Views North Community Centre</t>
    </r>
    <r>
      <rPr>
        <sz val="9"/>
        <color theme="1"/>
        <rFont val="Calibri"/>
        <family val="2"/>
        <scheme val="minor"/>
      </rPr>
      <t xml:space="preserve">
Construction of a multi-purpose community centre (Level 1) in </t>
    </r>
    <r>
      <rPr>
        <b/>
        <sz val="9"/>
        <color theme="1"/>
        <rFont val="Calibri"/>
        <family val="2"/>
        <scheme val="minor"/>
      </rPr>
      <t>Community Hub 1</t>
    </r>
    <r>
      <rPr>
        <sz val="9"/>
        <color theme="1"/>
        <rFont val="Calibri"/>
        <family val="2"/>
        <scheme val="minor"/>
      </rPr>
      <t xml:space="preserve"> - community rooms component.</t>
    </r>
  </si>
  <si>
    <r>
      <rPr>
        <b/>
        <sz val="9"/>
        <color theme="1"/>
        <rFont val="Calibri"/>
        <family val="2"/>
        <scheme val="minor"/>
      </rPr>
      <t>Weir Views South Community Centre</t>
    </r>
    <r>
      <rPr>
        <sz val="9"/>
        <color theme="1"/>
        <rFont val="Calibri"/>
        <family val="2"/>
        <scheme val="minor"/>
      </rPr>
      <t xml:space="preserve">
Purchase of land and construction of a multi-purpose community centre (Level 2) in </t>
    </r>
    <r>
      <rPr>
        <b/>
        <sz val="9"/>
        <color theme="1"/>
        <rFont val="Calibri"/>
        <family val="2"/>
        <scheme val="minor"/>
      </rPr>
      <t>Community Hub 2</t>
    </r>
    <r>
      <rPr>
        <sz val="9"/>
        <color theme="1"/>
        <rFont val="Calibri"/>
        <family val="2"/>
        <scheme val="minor"/>
      </rPr>
      <t xml:space="preserve"> - early childhood rooms component - including kindergarten and maternal health.</t>
    </r>
  </si>
  <si>
    <r>
      <rPr>
        <b/>
        <sz val="9"/>
        <color theme="1"/>
        <rFont val="Calibri"/>
        <family val="2"/>
        <scheme val="minor"/>
      </rPr>
      <t>Weir Views South Community Centre</t>
    </r>
    <r>
      <rPr>
        <sz val="9"/>
        <color theme="1"/>
        <rFont val="Calibri"/>
        <family val="2"/>
        <scheme val="minor"/>
      </rPr>
      <t xml:space="preserve">
Construction of a multi-purpose community centre (Level 2) in </t>
    </r>
    <r>
      <rPr>
        <b/>
        <sz val="9"/>
        <color theme="1"/>
        <rFont val="Calibri"/>
        <family val="2"/>
        <scheme val="minor"/>
      </rPr>
      <t>Community Hub 2</t>
    </r>
    <r>
      <rPr>
        <sz val="9"/>
        <color theme="1"/>
        <rFont val="Calibri"/>
        <family val="2"/>
        <scheme val="minor"/>
      </rPr>
      <t xml:space="preserve"> - community rooms component.</t>
    </r>
  </si>
  <si>
    <r>
      <rPr>
        <b/>
        <sz val="9"/>
        <color theme="1"/>
        <rFont val="Calibri"/>
        <family val="2"/>
        <scheme val="minor"/>
      </rPr>
      <t>Strathtulloh Community Centre</t>
    </r>
    <r>
      <rPr>
        <sz val="9"/>
        <color theme="1"/>
        <rFont val="Calibri"/>
        <family val="2"/>
        <scheme val="minor"/>
      </rPr>
      <t xml:space="preserve">
Purchase of land and construction of a multi-purpose community centre (Level 1) in </t>
    </r>
    <r>
      <rPr>
        <b/>
        <sz val="9"/>
        <color theme="1"/>
        <rFont val="Calibri"/>
        <family val="2"/>
        <scheme val="minor"/>
      </rPr>
      <t>Community Hub 3</t>
    </r>
    <r>
      <rPr>
        <sz val="9"/>
        <color theme="1"/>
        <rFont val="Calibri"/>
        <family val="2"/>
        <scheme val="minor"/>
      </rPr>
      <t xml:space="preserve"> - early childhood rooms component - including kindergarten and maternal health.</t>
    </r>
  </si>
  <si>
    <r>
      <rPr>
        <b/>
        <sz val="9"/>
        <color theme="1"/>
        <rFont val="Calibri"/>
        <family val="2"/>
        <scheme val="minor"/>
      </rPr>
      <t>Strathtulloh Community Centre</t>
    </r>
    <r>
      <rPr>
        <sz val="9"/>
        <color theme="1"/>
        <rFont val="Calibri"/>
        <family val="2"/>
        <scheme val="minor"/>
      </rPr>
      <t xml:space="preserve">
Construction of a multi-purpose community centre (Level 1) in </t>
    </r>
    <r>
      <rPr>
        <b/>
        <sz val="9"/>
        <color theme="1"/>
        <rFont val="Calibri"/>
        <family val="2"/>
        <scheme val="minor"/>
      </rPr>
      <t>Community Hub 3</t>
    </r>
    <r>
      <rPr>
        <sz val="9"/>
        <color theme="1"/>
        <rFont val="Calibri"/>
        <family val="2"/>
        <scheme val="minor"/>
      </rPr>
      <t xml:space="preserve"> - community rooms component.</t>
    </r>
  </si>
  <si>
    <r>
      <rPr>
        <b/>
        <sz val="9"/>
        <color theme="1"/>
        <rFont val="Calibri"/>
        <family val="2"/>
        <scheme val="minor"/>
      </rPr>
      <t>Thornhill Park Community Centre</t>
    </r>
    <r>
      <rPr>
        <sz val="9"/>
        <color theme="1"/>
        <rFont val="Calibri"/>
        <family val="2"/>
        <scheme val="minor"/>
      </rPr>
      <t xml:space="preserve">
Purchase of land and construction of a multi-purpose community centre (Level 1) in </t>
    </r>
    <r>
      <rPr>
        <b/>
        <sz val="9"/>
        <color theme="1"/>
        <rFont val="Calibri"/>
        <family val="2"/>
        <scheme val="minor"/>
      </rPr>
      <t>Community Hub 4</t>
    </r>
    <r>
      <rPr>
        <sz val="9"/>
        <color theme="1"/>
        <rFont val="Calibri"/>
        <family val="2"/>
        <scheme val="minor"/>
      </rPr>
      <t xml:space="preserve"> - early childhood rooms component - including kindergarten and maternal health.</t>
    </r>
  </si>
  <si>
    <r>
      <rPr>
        <b/>
        <sz val="9"/>
        <color theme="1"/>
        <rFont val="Calibri"/>
        <family val="2"/>
        <scheme val="minor"/>
      </rPr>
      <t>Thornhill Park Community Centre</t>
    </r>
    <r>
      <rPr>
        <sz val="9"/>
        <color theme="1"/>
        <rFont val="Calibri"/>
        <family val="2"/>
        <scheme val="minor"/>
      </rPr>
      <t xml:space="preserve">
Construction of a multi-purpose community centre (Level 1) in </t>
    </r>
    <r>
      <rPr>
        <b/>
        <sz val="9"/>
        <color theme="1"/>
        <rFont val="Calibri"/>
        <family val="2"/>
        <scheme val="minor"/>
      </rPr>
      <t>Community Hub 4</t>
    </r>
    <r>
      <rPr>
        <sz val="9"/>
        <color theme="1"/>
        <rFont val="Calibri"/>
        <family val="2"/>
        <scheme val="minor"/>
      </rPr>
      <t xml:space="preserve"> - community rooms component.</t>
    </r>
  </si>
  <si>
    <r>
      <rPr>
        <b/>
        <sz val="9"/>
        <color theme="1"/>
        <rFont val="Calibri"/>
        <family val="2"/>
        <scheme val="minor"/>
      </rPr>
      <t>Cobblebank East Community Centre</t>
    </r>
    <r>
      <rPr>
        <sz val="9"/>
        <color theme="1"/>
        <rFont val="Calibri"/>
        <family val="2"/>
        <scheme val="minor"/>
      </rPr>
      <t xml:space="preserve">
Purchase of land and construction of a multi-purpose community centre (Level 2) in </t>
    </r>
    <r>
      <rPr>
        <b/>
        <sz val="9"/>
        <color theme="1"/>
        <rFont val="Calibri"/>
        <family val="2"/>
        <scheme val="minor"/>
      </rPr>
      <t>Community Hub 5</t>
    </r>
    <r>
      <rPr>
        <sz val="9"/>
        <color theme="1"/>
        <rFont val="Calibri"/>
        <family val="2"/>
        <scheme val="minor"/>
      </rPr>
      <t xml:space="preserve"> - early childhood rooms component - including kindergarten and maternal health.</t>
    </r>
  </si>
  <si>
    <r>
      <rPr>
        <b/>
        <sz val="9"/>
        <color theme="1"/>
        <rFont val="Calibri"/>
        <family val="2"/>
        <scheme val="minor"/>
      </rPr>
      <t>Cobblebank East Community Centre</t>
    </r>
    <r>
      <rPr>
        <sz val="9"/>
        <color theme="1"/>
        <rFont val="Calibri"/>
        <family val="2"/>
        <scheme val="minor"/>
      </rPr>
      <t xml:space="preserve">
Construction of a multi-purpose community centre (Level 2) in </t>
    </r>
    <r>
      <rPr>
        <b/>
        <sz val="9"/>
        <color theme="1"/>
        <rFont val="Calibri"/>
        <family val="2"/>
        <scheme val="minor"/>
      </rPr>
      <t>Community Hub 5</t>
    </r>
    <r>
      <rPr>
        <sz val="9"/>
        <color theme="1"/>
        <rFont val="Calibri"/>
        <family val="2"/>
        <scheme val="minor"/>
      </rPr>
      <t xml:space="preserve"> - community rooms component.</t>
    </r>
  </si>
  <si>
    <r>
      <rPr>
        <b/>
        <sz val="9"/>
        <color theme="1"/>
        <rFont val="Calibri"/>
        <family val="2"/>
        <scheme val="minor"/>
      </rPr>
      <t>Bridge Road Community Centre</t>
    </r>
    <r>
      <rPr>
        <sz val="9"/>
        <color theme="1"/>
        <rFont val="Calibri"/>
        <family val="2"/>
        <scheme val="minor"/>
      </rPr>
      <t xml:space="preserve">
Construction of a multi-purpose community centre (Level 2) in </t>
    </r>
    <r>
      <rPr>
        <b/>
        <sz val="9"/>
        <color theme="1"/>
        <rFont val="Calibri"/>
        <family val="2"/>
        <scheme val="minor"/>
      </rPr>
      <t>Community Hub 6</t>
    </r>
    <r>
      <rPr>
        <sz val="9"/>
        <color theme="1"/>
        <rFont val="Calibri"/>
        <family val="2"/>
        <scheme val="minor"/>
      </rPr>
      <t xml:space="preserve"> - early childhood components - including kindergarten and maternal health. 
Area 2 contribution (60%) </t>
    </r>
  </si>
  <si>
    <r>
      <rPr>
        <b/>
        <sz val="9"/>
        <color theme="1"/>
        <rFont val="Calibri"/>
        <family val="2"/>
        <scheme val="minor"/>
      </rPr>
      <t>Bridge Road Community Centre</t>
    </r>
    <r>
      <rPr>
        <sz val="9"/>
        <color theme="1"/>
        <rFont val="Calibri"/>
        <family val="2"/>
        <scheme val="minor"/>
      </rPr>
      <t xml:space="preserve">
Construction of a multi-purpose community centre (Level 2) in </t>
    </r>
    <r>
      <rPr>
        <b/>
        <sz val="9"/>
        <color theme="1"/>
        <rFont val="Calibri"/>
        <family val="2"/>
        <scheme val="minor"/>
      </rPr>
      <t>Community Hub 6</t>
    </r>
    <r>
      <rPr>
        <sz val="9"/>
        <color theme="1"/>
        <rFont val="Calibri"/>
        <family val="2"/>
        <scheme val="minor"/>
      </rPr>
      <t xml:space="preserve"> - early childhood components - including kindergarten and maternal health. 
Area 3 contribution (40%)</t>
    </r>
  </si>
  <si>
    <r>
      <rPr>
        <b/>
        <sz val="9"/>
        <color theme="1"/>
        <rFont val="Calibri"/>
        <family val="2"/>
        <scheme val="minor"/>
      </rPr>
      <t>Bridge Road Community Centre</t>
    </r>
    <r>
      <rPr>
        <sz val="9"/>
        <color theme="1"/>
        <rFont val="Calibri"/>
        <family val="2"/>
        <scheme val="minor"/>
      </rPr>
      <t xml:space="preserve">
Purchase of land and construction of a multi-purpose community centre (Level 2) in </t>
    </r>
    <r>
      <rPr>
        <b/>
        <sz val="9"/>
        <color theme="1"/>
        <rFont val="Calibri"/>
        <family val="2"/>
        <scheme val="minor"/>
      </rPr>
      <t>Community Hub 6</t>
    </r>
    <r>
      <rPr>
        <sz val="9"/>
        <color theme="1"/>
        <rFont val="Calibri"/>
        <family val="2"/>
        <scheme val="minor"/>
      </rPr>
      <t xml:space="preserve"> - childcare components. 
Area 3 contribution (40%) </t>
    </r>
  </si>
  <si>
    <r>
      <rPr>
        <b/>
        <sz val="9"/>
        <color theme="1"/>
        <rFont val="Calibri"/>
        <family val="2"/>
        <scheme val="minor"/>
      </rPr>
      <t>Bridge Road Community Centre</t>
    </r>
    <r>
      <rPr>
        <sz val="9"/>
        <color theme="1"/>
        <rFont val="Calibri"/>
        <family val="2"/>
        <scheme val="minor"/>
      </rPr>
      <t xml:space="preserve">
Construction of a multi-purpose community centre (Level 2) in </t>
    </r>
    <r>
      <rPr>
        <b/>
        <sz val="9"/>
        <color theme="1"/>
        <rFont val="Calibri"/>
        <family val="2"/>
        <scheme val="minor"/>
      </rPr>
      <t>Community Hub 6</t>
    </r>
    <r>
      <rPr>
        <sz val="9"/>
        <color theme="1"/>
        <rFont val="Calibri"/>
        <family val="2"/>
        <scheme val="minor"/>
      </rPr>
      <t xml:space="preserve"> - community rooms component</t>
    </r>
  </si>
  <si>
    <r>
      <rPr>
        <b/>
        <sz val="9"/>
        <color theme="1"/>
        <rFont val="Calibri"/>
        <family val="2"/>
        <scheme val="minor"/>
      </rPr>
      <t xml:space="preserve">Weir Views North Sports Reserve Pavilion </t>
    </r>
    <r>
      <rPr>
        <sz val="9"/>
        <color theme="1"/>
        <rFont val="Calibri"/>
        <family val="2"/>
        <scheme val="minor"/>
      </rPr>
      <t xml:space="preserve">
Construction of a pavilion in </t>
    </r>
    <r>
      <rPr>
        <b/>
        <sz val="9"/>
        <color theme="1"/>
        <rFont val="Calibri"/>
        <family val="2"/>
        <scheme val="minor"/>
      </rPr>
      <t>Community Hub 1</t>
    </r>
    <r>
      <rPr>
        <sz val="9"/>
        <color theme="1"/>
        <rFont val="Calibri"/>
        <family val="2"/>
        <scheme val="minor"/>
      </rPr>
      <t>, including all building works, landscaping and related infrastructure</t>
    </r>
  </si>
  <si>
    <r>
      <rPr>
        <b/>
        <sz val="9"/>
        <color theme="1"/>
        <rFont val="Calibri"/>
        <family val="2"/>
        <scheme val="minor"/>
      </rPr>
      <t>Thornhill Park Sports Reserve Pavilion</t>
    </r>
    <r>
      <rPr>
        <sz val="9"/>
        <color theme="1"/>
        <rFont val="Calibri"/>
        <family val="2"/>
        <scheme val="minor"/>
      </rPr>
      <t xml:space="preserve">
Construction of a pavilion in </t>
    </r>
    <r>
      <rPr>
        <b/>
        <sz val="9"/>
        <color theme="1"/>
        <rFont val="Calibri"/>
        <family val="2"/>
        <scheme val="minor"/>
      </rPr>
      <t>Community Hub 4</t>
    </r>
    <r>
      <rPr>
        <sz val="9"/>
        <color theme="1"/>
        <rFont val="Calibri"/>
        <family val="2"/>
        <scheme val="minor"/>
      </rPr>
      <t>, including all building works, landscaping and related infrastructure</t>
    </r>
  </si>
  <si>
    <r>
      <rPr>
        <b/>
        <sz val="9"/>
        <color theme="1"/>
        <rFont val="Calibri"/>
        <family val="2"/>
        <scheme val="minor"/>
      </rPr>
      <t>Cobblebank East Sports Reserve Pavilion</t>
    </r>
    <r>
      <rPr>
        <sz val="9"/>
        <color theme="1"/>
        <rFont val="Calibri"/>
        <family val="2"/>
        <scheme val="minor"/>
      </rPr>
      <t xml:space="preserve">
Construction of a pavilion in </t>
    </r>
    <r>
      <rPr>
        <b/>
        <sz val="9"/>
        <color theme="1"/>
        <rFont val="Calibri"/>
        <family val="2"/>
        <scheme val="minor"/>
      </rPr>
      <t>Community Hub 5</t>
    </r>
    <r>
      <rPr>
        <sz val="9"/>
        <color theme="1"/>
        <rFont val="Calibri"/>
        <family val="2"/>
        <scheme val="minor"/>
      </rPr>
      <t>, including all building works, landscaping and related infrastructure</t>
    </r>
  </si>
  <si>
    <r>
      <rPr>
        <b/>
        <sz val="9"/>
        <color theme="1"/>
        <rFont val="Calibri"/>
        <family val="2"/>
        <scheme val="minor"/>
      </rPr>
      <t>Cobblebank Central Sports Reserve Pavilion</t>
    </r>
    <r>
      <rPr>
        <sz val="9"/>
        <color theme="1"/>
        <rFont val="Calibri"/>
        <family val="2"/>
        <scheme val="minor"/>
      </rPr>
      <t xml:space="preserve">
Construction of a pavilion in </t>
    </r>
    <r>
      <rPr>
        <b/>
        <sz val="9"/>
        <color theme="1"/>
        <rFont val="Calibri"/>
        <family val="2"/>
        <scheme val="minor"/>
      </rPr>
      <t>Community Hub 7</t>
    </r>
    <r>
      <rPr>
        <sz val="9"/>
        <color theme="1"/>
        <rFont val="Calibri"/>
        <family val="2"/>
        <scheme val="minor"/>
      </rPr>
      <t>, including all building works, landscaping and related infrastructure</t>
    </r>
  </si>
  <si>
    <r>
      <rPr>
        <b/>
        <sz val="9"/>
        <color theme="1"/>
        <rFont val="Calibri"/>
        <family val="2"/>
        <scheme val="minor"/>
      </rPr>
      <t>Weir Views South Sports Reserve Pavilion</t>
    </r>
    <r>
      <rPr>
        <sz val="9"/>
        <color theme="1"/>
        <rFont val="Calibri"/>
        <family val="2"/>
        <scheme val="minor"/>
      </rPr>
      <t xml:space="preserve">
Construction of a pavilion in </t>
    </r>
    <r>
      <rPr>
        <b/>
        <sz val="9"/>
        <color theme="1"/>
        <rFont val="Calibri"/>
        <family val="2"/>
        <scheme val="minor"/>
      </rPr>
      <t>Community Hub 2</t>
    </r>
    <r>
      <rPr>
        <sz val="9"/>
        <color theme="1"/>
        <rFont val="Calibri"/>
        <family val="2"/>
        <scheme val="minor"/>
      </rPr>
      <t>, including all building works, landscaping and related infrastructure</t>
    </r>
  </si>
  <si>
    <r>
      <rPr>
        <b/>
        <sz val="9"/>
        <color theme="1"/>
        <rFont val="Calibri"/>
        <family val="2"/>
        <scheme val="minor"/>
      </rPr>
      <t>Strathtulloh Sports Reserve Pavilion</t>
    </r>
    <r>
      <rPr>
        <sz val="9"/>
        <color theme="1"/>
        <rFont val="Calibri"/>
        <family val="2"/>
        <scheme val="minor"/>
      </rPr>
      <t xml:space="preserve">
Construction of a pavilion in </t>
    </r>
    <r>
      <rPr>
        <b/>
        <sz val="9"/>
        <color theme="1"/>
        <rFont val="Calibri"/>
        <family val="2"/>
        <scheme val="minor"/>
      </rPr>
      <t>Community Hub 3</t>
    </r>
    <r>
      <rPr>
        <sz val="9"/>
        <color theme="1"/>
        <rFont val="Calibri"/>
        <family val="2"/>
        <scheme val="minor"/>
      </rPr>
      <t>, including all building works, landscaping and related infrastructure</t>
    </r>
  </si>
  <si>
    <r>
      <rPr>
        <b/>
        <sz val="9"/>
        <color theme="1"/>
        <rFont val="Calibri"/>
        <family val="2"/>
        <scheme val="minor"/>
      </rPr>
      <t>Bridge Road Sports Reserve Pavilion</t>
    </r>
    <r>
      <rPr>
        <sz val="9"/>
        <color theme="1"/>
        <rFont val="Calibri"/>
        <family val="2"/>
        <scheme val="minor"/>
      </rPr>
      <t xml:space="preserve">
Construction of a pavilion in </t>
    </r>
    <r>
      <rPr>
        <b/>
        <sz val="9"/>
        <color theme="1"/>
        <rFont val="Calibri"/>
        <family val="2"/>
        <scheme val="minor"/>
      </rPr>
      <t>Community Hub 6</t>
    </r>
    <r>
      <rPr>
        <sz val="9"/>
        <color theme="1"/>
        <rFont val="Calibri"/>
        <family val="2"/>
        <scheme val="minor"/>
      </rPr>
      <t>, including all building works, landscaping and related infrastructure</t>
    </r>
  </si>
  <si>
    <t>Paynes Road PSP area has been removed as it no longer forms part of this DCP</t>
  </si>
  <si>
    <t>Project name and description updated to conform with contemporary naming and description conventions</t>
  </si>
  <si>
    <t>Proposed Changes</t>
  </si>
  <si>
    <t>Project deleted as it is located in the Rockbank South PSP area</t>
  </si>
  <si>
    <t>Deleted</t>
  </si>
  <si>
    <t>Project deleted as it has been replaced by BD16</t>
  </si>
  <si>
    <t>Project deleted as this underpass will be included in the Paynes Road Station construction project</t>
  </si>
  <si>
    <t>Project deleted as an adequate number of pedestrian crossings over the Toolern Creek have been provided</t>
  </si>
  <si>
    <t>Project 15A has been deleted as the construction of sporting fields are no longer CIL eligible projects</t>
  </si>
  <si>
    <t>O12 = rounding error
W12 = rounding error</t>
  </si>
  <si>
    <t>O18 = number omitted
P18 = rounding error</t>
  </si>
  <si>
    <t>I33 = rounding error
Q33 = rounding error</t>
  </si>
  <si>
    <t>I39 = rounding error
P39 = rounding error
Q39 = rounding error</t>
  </si>
  <si>
    <t>P40 = error in formula
Q40 = rounding error</t>
  </si>
  <si>
    <t>P47 = error in formula
Q47 = rounding error
Y47 = rounding error</t>
  </si>
  <si>
    <t>G51 = rounding error
O51 = rounding error
U51 = rouunding error
Y51 = rounding error</t>
  </si>
  <si>
    <t>U51 failed to include transport %
Y51 affected by wrong % in Y49</t>
  </si>
  <si>
    <t>AG4 should be a positive number
AH4 should be a positive number</t>
  </si>
  <si>
    <t>AG21 = wrong percentage
AH21 = wrong figure</t>
  </si>
  <si>
    <t>AA112 = rounding error
AF112 = missing number
AH112 = wrong figure in DCP</t>
  </si>
  <si>
    <t>AB136 = incomplete number
AH136 = wrong figure in DCP</t>
  </si>
  <si>
    <t>New intersection project from the Cobblebank Metropolitan Activity Centre Urban Design Framework</t>
  </si>
  <si>
    <t>New bridge project from the Cobblebank Metropolitan Activity Centre Urban Design Framework</t>
  </si>
  <si>
    <t>Missing bridge project from the Paynes Road Precinct Structure Plan.</t>
  </si>
  <si>
    <t>Missing bridge project from the Rockbank Development Contributions Plan.</t>
  </si>
  <si>
    <t xml:space="preserve">Missing bridge project from the Paynes Road Precinct Structure Plan. </t>
  </si>
  <si>
    <t>Missing intersection project from the Rockbank Development Contributions Plan.</t>
  </si>
  <si>
    <t>Missing road project from the Rockbank Development Contributions Plan.</t>
  </si>
  <si>
    <t>50% apportioned to the Rockbank DCP area
25% apportioned to Paynes Road PSP area</t>
  </si>
  <si>
    <t>50% apportioned to the Rockbank DCP area</t>
  </si>
  <si>
    <t>50% apportioned to the Paynes Road PSP area</t>
  </si>
  <si>
    <t>50% apportioned to the Rockbank DCP area
25% apportioned to Rockbank South ICP</t>
  </si>
  <si>
    <t>25% apportioned to the Paynes Road PSP area</t>
  </si>
  <si>
    <t>ESTIMATED INTERNAL USAGE %</t>
  </si>
  <si>
    <t>30% of this catchment is located within an established area in Melton South</t>
  </si>
  <si>
    <t>Apportionments</t>
  </si>
  <si>
    <t>New Projects and Deleted Projects</t>
  </si>
  <si>
    <t>Land Area Changes</t>
  </si>
  <si>
    <t>Project Name and Description Changes</t>
  </si>
  <si>
    <t>Source of Construction Values</t>
  </si>
  <si>
    <t>Rockbank Development Contributions Plan, VPA, August 2016
Indexed to $2021</t>
  </si>
  <si>
    <t>Paynes Road Development Contributions Plan, Urban Enterprise, December 2020</t>
  </si>
  <si>
    <t>No construction - land project only</t>
  </si>
  <si>
    <t>Constructed
Toolern Development Contributions Plan, VPA
Indexed to $2021</t>
  </si>
  <si>
    <t>Completed
Toolern Development Contributions Plan, VPA
Indexed to $2021</t>
  </si>
  <si>
    <t>VPA Benchmark Infrastructure Report, Cardno, April 2019
Indexed to $2021
8-10 Ha Sports and Recreation Facility</t>
  </si>
  <si>
    <t>VPA Benchmark Infrastructure Report, Cardno, April 2019
Indexed to $2021
5-6 Ha Sports and Recreation Facility</t>
  </si>
  <si>
    <t>VPA Benchmark Infrastructure Report, Cardno, April 2019
Indexed to $2021
Sporting Pavilion - 2 Playing Areas</t>
  </si>
  <si>
    <t>VPA Benchmark Infrastructure Report, Cardno, April 2019
Indexed to $2021
2 x Sporting Pavilion - 2 Playing Areas</t>
  </si>
  <si>
    <t>Source of Land Values</t>
  </si>
  <si>
    <r>
      <rPr>
        <b/>
        <sz val="9"/>
        <color theme="1"/>
        <rFont val="Calibri"/>
        <family val="2"/>
        <scheme val="minor"/>
      </rPr>
      <t>Rees Road: Coburns Road (PSP boundary) to East West Arterial (IT01)</t>
    </r>
    <r>
      <rPr>
        <sz val="9"/>
        <color theme="1"/>
        <rFont val="Calibri"/>
        <family val="2"/>
        <scheme val="minor"/>
      </rPr>
      <t xml:space="preserve"> 
Construction of a 2-lane arterial road (interim layout). 
Purchase of land to increase reserve width from 20m to 34m (ultimate).</t>
    </r>
  </si>
  <si>
    <t>Road width decreased from 38m to 34m</t>
  </si>
  <si>
    <t>Changes to Land Take</t>
  </si>
  <si>
    <r>
      <rPr>
        <b/>
        <sz val="9"/>
        <color theme="1"/>
        <rFont val="Calibri"/>
        <family val="2"/>
        <scheme val="minor"/>
      </rPr>
      <t>East West Arterial: Rees Road (IT01) to Exford Road (IT02)</t>
    </r>
    <r>
      <rPr>
        <sz val="9"/>
        <color theme="1"/>
        <rFont val="Calibri"/>
        <family val="2"/>
        <scheme val="minor"/>
      </rPr>
      <t xml:space="preserve">
Construction of a 2-lane arterial road (interim standard) 
Purchase of land to increase reserve width from 0m to 34m (ultimate). </t>
    </r>
  </si>
  <si>
    <t>Road width increased from 31m to 34m</t>
  </si>
  <si>
    <t>No change to road width (four lane road delivered within a 6 lane road reserve)</t>
  </si>
  <si>
    <t>Road width decreased from 45m to 41m</t>
  </si>
  <si>
    <t>No change to ultimate road width proposed</t>
  </si>
  <si>
    <t>Recommended to be a Level 1 Community Centre in the ASR Community and Recreation Project Review report</t>
  </si>
  <si>
    <t>Recommended to be a Level 2 Community Centre in the ASR Community and Recreation Project Review report</t>
  </si>
  <si>
    <t>Proposed Changes
ASR Review Report</t>
  </si>
  <si>
    <t>Proposed Changes to Landtake
ASR Review Report</t>
  </si>
  <si>
    <t>Recommended to be located on a 1 Hectare site in the ASR Community and Recreation Project Review report</t>
  </si>
  <si>
    <r>
      <rPr>
        <b/>
        <sz val="9"/>
        <color theme="1"/>
        <rFont val="Calibri"/>
        <family val="2"/>
        <scheme val="minor"/>
      </rPr>
      <t>Weir Views South Sports Reserve</t>
    </r>
    <r>
      <rPr>
        <sz val="9"/>
        <color theme="1"/>
        <rFont val="Calibri"/>
        <family val="2"/>
        <scheme val="minor"/>
      </rPr>
      <t xml:space="preserve">
Purchase of 8.96 hectares of land for active open space for AR05 and AR06</t>
    </r>
  </si>
  <si>
    <t>Recommended to reduce land area by 0.2 Hectare in the ASR Community and Recreation Project Review report
Reduce land take from 9.16 Ha to 8.96 Ha</t>
  </si>
  <si>
    <t>Inclusion of land required for an Indoor Recreation Centre (community facility) of 2.89 Ha</t>
  </si>
  <si>
    <t xml:space="preserve">Inclusion of land required for a Higher Order Civic Facilities and Level 3 Community Centre of 1.5 Ha </t>
  </si>
  <si>
    <t>Property 35</t>
  </si>
  <si>
    <t>Increase size of active open space from 7.9 Ha to 8.19 Ha (land no longer required for a school)</t>
  </si>
  <si>
    <r>
      <rPr>
        <b/>
        <sz val="9"/>
        <color theme="1"/>
        <rFont val="Calibri"/>
        <family val="2"/>
        <scheme val="minor"/>
      </rPr>
      <t>Cobblebank Central Sports Reserve</t>
    </r>
    <r>
      <rPr>
        <sz val="9"/>
        <color theme="1"/>
        <rFont val="Calibri"/>
        <family val="2"/>
        <scheme val="minor"/>
      </rPr>
      <t xml:space="preserve">
Purchase of 8.19 hectares of land for active open space for AR13 and AR14. Area 3 Contributions (40%)</t>
    </r>
  </si>
  <si>
    <r>
      <rPr>
        <b/>
        <sz val="9"/>
        <color theme="1"/>
        <rFont val="Calibri"/>
        <family val="2"/>
        <scheme val="minor"/>
      </rPr>
      <t>Cobblebank Central Sports Reserve</t>
    </r>
    <r>
      <rPr>
        <sz val="9"/>
        <color theme="1"/>
        <rFont val="Calibri"/>
        <family val="2"/>
        <scheme val="minor"/>
      </rPr>
      <t xml:space="preserve">
Purchase of 8.19 hectares of land for active open space for AR13 and AR14. Area 2 Contributions (60%)</t>
    </r>
  </si>
  <si>
    <t>Property 85</t>
  </si>
  <si>
    <t>Property 77</t>
  </si>
  <si>
    <t>Property 69</t>
  </si>
  <si>
    <t>Property 63</t>
  </si>
  <si>
    <t>Property 54</t>
  </si>
  <si>
    <t>Property 49</t>
  </si>
  <si>
    <t>Property 37</t>
  </si>
  <si>
    <t>Property 123</t>
  </si>
  <si>
    <t>Properties 37A and 37B combined
(planned subdivision in 2010 did not proceed)</t>
  </si>
  <si>
    <t>Properties 49A and 49B combined
(planned subdivision in 2010 did not proceed)</t>
  </si>
  <si>
    <t>Properties 54A and 54B combined
(planned subdivision in 2010 did not proceed)</t>
  </si>
  <si>
    <t>Properties 63A and 63B combined
(planned subdivision in 2010 did not proceed)</t>
  </si>
  <si>
    <t>Properties 69A and 69B combined
(planned subdivision in 2010 did not proceed)</t>
  </si>
  <si>
    <t>Properties 77A and 77B combined
(planned subdivision in 2010 did not proceed)</t>
  </si>
  <si>
    <t>Properties 85A and 85B combined
(planned subdivision in 2010 did not proceed)</t>
  </si>
  <si>
    <t>Properties 123A and 123B combined
(planned subdivision in 2010 did not proceed)</t>
  </si>
  <si>
    <t>Property 118</t>
  </si>
  <si>
    <t>Properties 118A, 118B and 118C combined
(planned subdivision in 2010 did not proceed)</t>
  </si>
  <si>
    <t>Community Centre increased from 0.8 Ha to 1 Ha
Active Open Space reduced from 9.16 Ha to 8.96 Ha
Non-Govt School increased from 2.55 Ha to 3.00 Ha</t>
  </si>
  <si>
    <t>Decrease land for a community facility from 2.50 Ha to 0 Ha
Decrease land required for a civic facility from 4.0 Ha to 0 Ha</t>
  </si>
  <si>
    <t xml:space="preserve">Delete non-government school land 0.08 Ha
Increase active open space from 2.72 Ha to 2.8 Ha </t>
  </si>
  <si>
    <t>Delete non-government school land requirement of 0.21 Ha 
Increase active open space from 5.18 Ha to 5.39 Ha</t>
  </si>
  <si>
    <t>School site decreased from 1.24 Ha to 1.03 Ha
Community centre increased from 0.8 Ha to 1.0 Ha</t>
  </si>
  <si>
    <r>
      <rPr>
        <b/>
        <sz val="9"/>
        <color theme="1"/>
        <rFont val="Calibri"/>
        <family val="2"/>
        <scheme val="minor"/>
      </rPr>
      <t>East Road Rail Overpass</t>
    </r>
    <r>
      <rPr>
        <sz val="9"/>
        <color theme="1"/>
        <rFont val="Calibri"/>
        <family val="2"/>
        <scheme val="minor"/>
      </rPr>
      <t xml:space="preserve">
Construction of a rail-road grade separation at the intersection of East Road and the Melbourne-Ballarat rail corridor (interim standard).</t>
    </r>
  </si>
  <si>
    <r>
      <rPr>
        <b/>
        <sz val="9"/>
        <color theme="1"/>
        <rFont val="Calibri"/>
        <family val="2"/>
        <scheme val="minor"/>
      </rPr>
      <t>Paynes Road Rail Overpass</t>
    </r>
    <r>
      <rPr>
        <sz val="9"/>
        <color theme="1"/>
        <rFont val="Calibri"/>
        <family val="2"/>
        <scheme val="minor"/>
      </rPr>
      <t xml:space="preserve">
Construction of a rail-road grade separation at the intersection of Paynes Road and the Melbourne-Ballarat rail corridor (interim standard).</t>
    </r>
  </si>
  <si>
    <t>Paynes Road DCP, Urban Enterprise, December 2020</t>
  </si>
  <si>
    <t>Rockbank Development Contributions Plan, VPA, August 2016
Indexed to $2021
Paynes Road Development Contributions Plan, Urban Enterprise, December 2020</t>
  </si>
  <si>
    <t>Rockbank Development Contributions Plan, VPA, August 2016
Indexed to $2021
Paynes Road Development Contributions Plan, Urban Enterprise, December 2019</t>
  </si>
  <si>
    <t>IT11</t>
  </si>
  <si>
    <t>Skipped Project - There is no IT11 in the Toolern DCP</t>
  </si>
  <si>
    <t>RD13</t>
  </si>
  <si>
    <t>Skipped Project - There is no RD13 in the Toolern DCP</t>
  </si>
  <si>
    <t>Notes</t>
  </si>
  <si>
    <t>Value from Paynes Road DCP</t>
  </si>
  <si>
    <t>Value from Paynes Road DC</t>
  </si>
  <si>
    <t>Value from Rockbank DCP</t>
  </si>
  <si>
    <t>New Project - CMAC UDF</t>
  </si>
  <si>
    <t>Community Infrastructure Projects</t>
  </si>
  <si>
    <t>Trail Projects</t>
  </si>
  <si>
    <t>This project was skipped in the Toolern DCP</t>
  </si>
  <si>
    <t>Partially constructed</t>
  </si>
  <si>
    <t>Land acquired</t>
  </si>
  <si>
    <t>Land Acquired</t>
  </si>
  <si>
    <t>Proposed Change to Project Name and Description</t>
  </si>
  <si>
    <t>Proposed Change to Road Width</t>
  </si>
  <si>
    <t>New project from CMAC UDF</t>
  </si>
  <si>
    <t>New project from Paynes Road DCP</t>
  </si>
  <si>
    <t>Land partially acquired</t>
  </si>
  <si>
    <t>Land partially acquired
Road partially constructed</t>
  </si>
  <si>
    <t>S173 Agreement to purchase land</t>
  </si>
  <si>
    <t>New project from Paynes Road DCP
Land on east side acquired</t>
  </si>
  <si>
    <r>
      <rPr>
        <b/>
        <sz val="9"/>
        <color rgb="FF000000"/>
        <rFont val="Calibri"/>
        <family val="2"/>
        <scheme val="minor"/>
      </rPr>
      <t>Intersection: Mount Cottrell Road and Baxterpark Drive</t>
    </r>
    <r>
      <rPr>
        <sz val="9"/>
        <color rgb="FF000000"/>
        <rFont val="Calibri"/>
        <family val="2"/>
        <scheme val="minor"/>
      </rPr>
      <t xml:space="preserve">
Construction of signalised T-intersection (interim standard).</t>
    </r>
  </si>
  <si>
    <t>Constructed
Paynes Road DCP, Urban Enterprise, December 2020</t>
  </si>
  <si>
    <t>Relocated to land owned by Council</t>
  </si>
  <si>
    <r>
      <rPr>
        <b/>
        <sz val="9"/>
        <color theme="1"/>
        <rFont val="Calibri"/>
        <family val="2"/>
        <scheme val="minor"/>
      </rPr>
      <t>Mount Cottrell Road: Melbourne Ballarat Rail Line to PSP southern boundary</t>
    </r>
    <r>
      <rPr>
        <sz val="9"/>
        <color theme="1"/>
        <rFont val="Calibri"/>
        <family val="2"/>
        <scheme val="minor"/>
      </rPr>
      <t xml:space="preserve">
Construction of a 2-lane arterial road (interim layout).
Purchase land (including native vegetation re-alignment) to increase reserve width from 20m to 41m (ultimate).  </t>
    </r>
  </si>
  <si>
    <r>
      <rPr>
        <b/>
        <sz val="9"/>
        <color theme="1"/>
        <rFont val="Calibri"/>
        <family val="2"/>
        <scheme val="minor"/>
      </rPr>
      <t>Shogaki Drive: Ferris Road (IT13) to Industrial Connector Road (IT12)</t>
    </r>
    <r>
      <rPr>
        <sz val="9"/>
        <color theme="1"/>
        <rFont val="Calibri"/>
        <family val="2"/>
        <scheme val="minor"/>
      </rPr>
      <t xml:space="preserve">
Construction of a 2-lane arterial road (interim layout). 
Purchase land to increase reserve width from 40m to 45m (ultimate). </t>
    </r>
  </si>
  <si>
    <r>
      <rPr>
        <b/>
        <sz val="9"/>
        <color theme="1"/>
        <rFont val="Calibri"/>
        <family val="2"/>
        <scheme val="minor"/>
      </rPr>
      <t>Bridge Road Community Centre</t>
    </r>
    <r>
      <rPr>
        <sz val="9"/>
        <color theme="1"/>
        <rFont val="Calibri"/>
        <family val="2"/>
        <scheme val="minor"/>
      </rPr>
      <t xml:space="preserve">
Purchase of land and construction of a multi-purpose community centre (Level 2) in </t>
    </r>
    <r>
      <rPr>
        <b/>
        <sz val="9"/>
        <color theme="1"/>
        <rFont val="Calibri"/>
        <family val="2"/>
        <scheme val="minor"/>
      </rPr>
      <t>Community Hub 6</t>
    </r>
    <r>
      <rPr>
        <sz val="9"/>
        <color theme="1"/>
        <rFont val="Calibri"/>
        <family val="2"/>
        <scheme val="minor"/>
      </rPr>
      <t xml:space="preserve"> - childcare components. 
Area 2 contribution (60%) </t>
    </r>
  </si>
  <si>
    <r>
      <rPr>
        <b/>
        <sz val="9"/>
        <color theme="1"/>
        <rFont val="Calibri"/>
        <family val="2"/>
        <scheme val="minor"/>
      </rPr>
      <t>Shared Use Pedestrian Bridge 1: Toolern Creek</t>
    </r>
    <r>
      <rPr>
        <sz val="9"/>
        <color theme="1"/>
        <rFont val="Calibri"/>
        <family val="2"/>
        <scheme val="minor"/>
      </rPr>
      <t xml:space="preserve">
Construction of a shared use pedestrian bridge over the Toolern Creek.</t>
    </r>
  </si>
  <si>
    <r>
      <rPr>
        <b/>
        <sz val="9"/>
        <color theme="1"/>
        <rFont val="Calibri"/>
        <family val="2"/>
        <scheme val="minor"/>
      </rPr>
      <t>Shared Use Pedestrian Bridge 2: Toolern Creek</t>
    </r>
    <r>
      <rPr>
        <sz val="9"/>
        <color theme="1"/>
        <rFont val="Calibri"/>
        <family val="2"/>
        <scheme val="minor"/>
      </rPr>
      <t xml:space="preserve">
Construction of a shared use pedestrian bridge over the Toolern Creek.</t>
    </r>
  </si>
  <si>
    <r>
      <rPr>
        <b/>
        <sz val="9"/>
        <color theme="1"/>
        <rFont val="Calibri"/>
        <family val="2"/>
        <scheme val="minor"/>
      </rPr>
      <t>Shared Use Pedestrian Bridge 3: Toolern Creek</t>
    </r>
    <r>
      <rPr>
        <sz val="9"/>
        <color theme="1"/>
        <rFont val="Calibri"/>
        <family val="2"/>
        <scheme val="minor"/>
      </rPr>
      <t xml:space="preserve">
Construction of a shared use pedestrian bridge over the Toolern Creek.</t>
    </r>
  </si>
  <si>
    <r>
      <rPr>
        <b/>
        <sz val="9"/>
        <color theme="1"/>
        <rFont val="Calibri"/>
        <family val="2"/>
        <scheme val="minor"/>
      </rPr>
      <t>Shared Use Pedestrian Bridge 4: Toolern Creek</t>
    </r>
    <r>
      <rPr>
        <sz val="9"/>
        <color theme="1"/>
        <rFont val="Calibri"/>
        <family val="2"/>
        <scheme val="minor"/>
      </rPr>
      <t xml:space="preserve">
Construction of a shared use pedestrian bridge over the Toolern Creek.</t>
    </r>
  </si>
  <si>
    <r>
      <rPr>
        <b/>
        <sz val="9"/>
        <color theme="1"/>
        <rFont val="Calibri"/>
        <family val="2"/>
        <scheme val="minor"/>
      </rPr>
      <t xml:space="preserve">Weir Views North Sports Reserve Pavilion </t>
    </r>
    <r>
      <rPr>
        <sz val="9"/>
        <color theme="1"/>
        <rFont val="Calibri"/>
        <family val="2"/>
        <scheme val="minor"/>
      </rPr>
      <t xml:space="preserve">
Construction of a pavilion in </t>
    </r>
    <r>
      <rPr>
        <b/>
        <sz val="9"/>
        <color theme="1"/>
        <rFont val="Calibri"/>
        <family val="2"/>
        <scheme val="minor"/>
      </rPr>
      <t>Community Hub 1</t>
    </r>
    <r>
      <rPr>
        <sz val="9"/>
        <color theme="1"/>
        <rFont val="Calibri"/>
        <family val="2"/>
        <scheme val="minor"/>
      </rPr>
      <t>, including all building works, landscaping, and related infrastructure</t>
    </r>
  </si>
  <si>
    <r>
      <rPr>
        <b/>
        <sz val="9"/>
        <color theme="1"/>
        <rFont val="Calibri"/>
        <family val="2"/>
        <scheme val="minor"/>
      </rPr>
      <t>Weir Views East Sports Reserve Pavilion</t>
    </r>
    <r>
      <rPr>
        <sz val="9"/>
        <color theme="1"/>
        <rFont val="Calibri"/>
        <family val="2"/>
        <scheme val="minor"/>
      </rPr>
      <t xml:space="preserve">
Construction of a pavilion, including all building works, landscaping, and related infrastructure</t>
    </r>
  </si>
  <si>
    <r>
      <rPr>
        <b/>
        <sz val="9"/>
        <color theme="1"/>
        <rFont val="Calibri"/>
        <family val="2"/>
        <scheme val="minor"/>
      </rPr>
      <t>Weir Views South Sports Reserve</t>
    </r>
    <r>
      <rPr>
        <sz val="9"/>
        <color theme="1"/>
        <rFont val="Calibri"/>
        <family val="2"/>
        <scheme val="minor"/>
      </rPr>
      <t xml:space="preserve">
Construction of a pavilion in </t>
    </r>
    <r>
      <rPr>
        <b/>
        <sz val="9"/>
        <color theme="1"/>
        <rFont val="Calibri"/>
        <family val="2"/>
        <scheme val="minor"/>
      </rPr>
      <t>Community Hub 2</t>
    </r>
    <r>
      <rPr>
        <sz val="9"/>
        <color theme="1"/>
        <rFont val="Calibri"/>
        <family val="2"/>
        <scheme val="minor"/>
      </rPr>
      <t>, including all building works, landscaping, and related infrastructure</t>
    </r>
  </si>
  <si>
    <r>
      <rPr>
        <b/>
        <sz val="9"/>
        <color theme="1"/>
        <rFont val="Calibri"/>
        <family val="2"/>
        <scheme val="minor"/>
      </rPr>
      <t>Strathtulloh Sports Reserve Pavilion</t>
    </r>
    <r>
      <rPr>
        <sz val="9"/>
        <color theme="1"/>
        <rFont val="Calibri"/>
        <family val="2"/>
        <scheme val="minor"/>
      </rPr>
      <t xml:space="preserve">
Construction of a pavilion in</t>
    </r>
    <r>
      <rPr>
        <b/>
        <sz val="9"/>
        <color theme="1"/>
        <rFont val="Calibri"/>
        <family val="2"/>
        <scheme val="minor"/>
      </rPr>
      <t xml:space="preserve"> Community Hub 3</t>
    </r>
    <r>
      <rPr>
        <sz val="9"/>
        <color theme="1"/>
        <rFont val="Calibri"/>
        <family val="2"/>
        <scheme val="minor"/>
      </rPr>
      <t>, including all building works, landscaping, and related infrastructure</t>
    </r>
  </si>
  <si>
    <r>
      <rPr>
        <b/>
        <sz val="9"/>
        <color theme="1"/>
        <rFont val="Calibri"/>
        <family val="2"/>
        <scheme val="minor"/>
      </rPr>
      <t>Thornhill Park Sports Reserve Pavilion</t>
    </r>
    <r>
      <rPr>
        <sz val="9"/>
        <color theme="1"/>
        <rFont val="Calibri"/>
        <family val="2"/>
        <scheme val="minor"/>
      </rPr>
      <t xml:space="preserve">
Construction of a pavilion in </t>
    </r>
    <r>
      <rPr>
        <b/>
        <sz val="9"/>
        <color theme="1"/>
        <rFont val="Calibri"/>
        <family val="2"/>
        <scheme val="minor"/>
      </rPr>
      <t>Community Hub 4</t>
    </r>
    <r>
      <rPr>
        <sz val="9"/>
        <color theme="1"/>
        <rFont val="Calibri"/>
        <family val="2"/>
        <scheme val="minor"/>
      </rPr>
      <t>, including all building works, landscaping, and related infrastructure</t>
    </r>
  </si>
  <si>
    <r>
      <rPr>
        <b/>
        <sz val="9"/>
        <color theme="1"/>
        <rFont val="Calibri"/>
        <family val="2"/>
        <scheme val="minor"/>
      </rPr>
      <t>Cobblebank East Sports Reserve Pavilion</t>
    </r>
    <r>
      <rPr>
        <sz val="9"/>
        <color theme="1"/>
        <rFont val="Calibri"/>
        <family val="2"/>
        <scheme val="minor"/>
      </rPr>
      <t xml:space="preserve">
Construction of a pavilion in </t>
    </r>
    <r>
      <rPr>
        <b/>
        <sz val="9"/>
        <color theme="1"/>
        <rFont val="Calibri"/>
        <family val="2"/>
        <scheme val="minor"/>
      </rPr>
      <t>Community Hub 5</t>
    </r>
    <r>
      <rPr>
        <sz val="9"/>
        <color theme="1"/>
        <rFont val="Calibri"/>
        <family val="2"/>
        <scheme val="minor"/>
      </rPr>
      <t>, including all building works, landscaping, and related infrastructure</t>
    </r>
  </si>
  <si>
    <r>
      <rPr>
        <b/>
        <sz val="9"/>
        <color theme="1"/>
        <rFont val="Calibri"/>
        <family val="2"/>
        <scheme val="minor"/>
      </rPr>
      <t>Weir Views North Sports Reserve</t>
    </r>
    <r>
      <rPr>
        <sz val="9"/>
        <color theme="1"/>
        <rFont val="Calibri"/>
        <family val="2"/>
        <scheme val="minor"/>
      </rPr>
      <t xml:space="preserve">
Construction of a sports reserve in </t>
    </r>
    <r>
      <rPr>
        <b/>
        <sz val="9"/>
        <color theme="1"/>
        <rFont val="Calibri"/>
        <family val="2"/>
        <scheme val="minor"/>
      </rPr>
      <t>Community Hub 1</t>
    </r>
    <r>
      <rPr>
        <sz val="9"/>
        <color theme="1"/>
        <rFont val="Calibri"/>
        <family val="2"/>
        <scheme val="minor"/>
      </rPr>
      <t xml:space="preserve">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</t>
    </r>
  </si>
  <si>
    <r>
      <rPr>
        <b/>
        <sz val="9"/>
        <color theme="1"/>
        <rFont val="Calibri"/>
        <family val="2"/>
        <scheme val="minor"/>
      </rPr>
      <t>Weir Views East Sports Reserve</t>
    </r>
    <r>
      <rPr>
        <sz val="9"/>
        <color theme="1"/>
        <rFont val="Calibri"/>
        <family val="2"/>
        <scheme val="minor"/>
      </rPr>
      <t xml:space="preserve">
Construction of a sports reserve incorporating:
- Playing surfaces and car parks, including all construction works, landscaping, and related infrastructure
- Playground including play space, youth space, picnic facilities, and BBQ</t>
    </r>
  </si>
  <si>
    <r>
      <rPr>
        <b/>
        <sz val="9"/>
        <color theme="1"/>
        <rFont val="Calibri"/>
        <family val="2"/>
        <scheme val="minor"/>
      </rPr>
      <t>Weir Views South Sports Reserve</t>
    </r>
    <r>
      <rPr>
        <sz val="9"/>
        <color theme="1"/>
        <rFont val="Calibri"/>
        <family val="2"/>
        <scheme val="minor"/>
      </rPr>
      <t xml:space="preserve">
Construction of a sports reserve in </t>
    </r>
    <r>
      <rPr>
        <b/>
        <sz val="9"/>
        <color theme="1"/>
        <rFont val="Calibri"/>
        <family val="2"/>
        <scheme val="minor"/>
      </rPr>
      <t>Community Hub 2</t>
    </r>
    <r>
      <rPr>
        <sz val="9"/>
        <color theme="1"/>
        <rFont val="Calibri"/>
        <family val="2"/>
        <scheme val="minor"/>
      </rPr>
      <t xml:space="preserve"> incorporating:
- Playing surfaces and car parks, including all construction works, landscaping, and related infrastructure
- Playground including play space, youth space, picnic facilities, and BBQ</t>
    </r>
  </si>
  <si>
    <r>
      <rPr>
        <b/>
        <sz val="9"/>
        <color theme="1"/>
        <rFont val="Calibri"/>
        <family val="2"/>
        <scheme val="minor"/>
      </rPr>
      <t>Strathtulloh Sports Reserve</t>
    </r>
    <r>
      <rPr>
        <sz val="9"/>
        <color theme="1"/>
        <rFont val="Calibri"/>
        <family val="2"/>
        <scheme val="minor"/>
      </rPr>
      <t xml:space="preserve">
Construction of a sports reserve in </t>
    </r>
    <r>
      <rPr>
        <b/>
        <sz val="9"/>
        <color theme="1"/>
        <rFont val="Calibri"/>
        <family val="2"/>
        <scheme val="minor"/>
      </rPr>
      <t>Community Hub 3</t>
    </r>
    <r>
      <rPr>
        <sz val="9"/>
        <color theme="1"/>
        <rFont val="Calibri"/>
        <family val="2"/>
        <scheme val="minor"/>
      </rPr>
      <t xml:space="preserve"> incorporating:
- Playing surfaces and car parks, including all construction works, landscaping, and related infrastructure
- Playground including play space, youth space, picnic facilities, and BBQ</t>
    </r>
  </si>
  <si>
    <r>
      <rPr>
        <b/>
        <sz val="9"/>
        <color theme="1"/>
        <rFont val="Calibri"/>
        <family val="2"/>
        <scheme val="minor"/>
      </rPr>
      <t>Thornhill Park Sports Reserve</t>
    </r>
    <r>
      <rPr>
        <sz val="9"/>
        <color theme="1"/>
        <rFont val="Calibri"/>
        <family val="2"/>
        <scheme val="minor"/>
      </rPr>
      <t xml:space="preserve">
Construction of a sports reserve in </t>
    </r>
    <r>
      <rPr>
        <b/>
        <sz val="9"/>
        <color theme="1"/>
        <rFont val="Calibri"/>
        <family val="2"/>
        <scheme val="minor"/>
      </rPr>
      <t xml:space="preserve">Community Hub 4 </t>
    </r>
    <r>
      <rPr>
        <sz val="9"/>
        <color theme="1"/>
        <rFont val="Calibri"/>
        <family val="2"/>
        <scheme val="minor"/>
      </rPr>
      <t>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</t>
    </r>
  </si>
  <si>
    <r>
      <rPr>
        <b/>
        <sz val="9"/>
        <color theme="1"/>
        <rFont val="Calibri"/>
        <family val="2"/>
        <scheme val="minor"/>
      </rPr>
      <t>Cobblebank East Sports Reserve</t>
    </r>
    <r>
      <rPr>
        <sz val="9"/>
        <color theme="1"/>
        <rFont val="Calibri"/>
        <family val="2"/>
        <scheme val="minor"/>
      </rPr>
      <t xml:space="preserve">
Construction of a sports reserve in </t>
    </r>
    <r>
      <rPr>
        <b/>
        <sz val="9"/>
        <color theme="1"/>
        <rFont val="Calibri"/>
        <family val="2"/>
        <scheme val="minor"/>
      </rPr>
      <t>Community Hub 5</t>
    </r>
    <r>
      <rPr>
        <sz val="9"/>
        <color theme="1"/>
        <rFont val="Calibri"/>
        <family val="2"/>
        <scheme val="minor"/>
      </rPr>
      <t xml:space="preserve"> incorporating:
- Playing surfaces and car parks, including all construction works, landscaping, and related infrastructure
- Playground including play space, youth space, picnic facilities, and BBQ</t>
    </r>
  </si>
  <si>
    <r>
      <rPr>
        <b/>
        <sz val="9"/>
        <color theme="1"/>
        <rFont val="Calibri"/>
        <family val="2"/>
        <scheme val="minor"/>
      </rPr>
      <t>Cobblebank Central Sports Reserve</t>
    </r>
    <r>
      <rPr>
        <sz val="9"/>
        <color theme="1"/>
        <rFont val="Calibri"/>
        <family val="2"/>
        <scheme val="minor"/>
      </rPr>
      <t xml:space="preserve">
Construction of a sports reserve in </t>
    </r>
    <r>
      <rPr>
        <b/>
        <sz val="9"/>
        <color theme="1"/>
        <rFont val="Calibri"/>
        <family val="2"/>
        <scheme val="minor"/>
      </rPr>
      <t>Community Hub 7</t>
    </r>
    <r>
      <rPr>
        <sz val="9"/>
        <color theme="1"/>
        <rFont val="Calibri"/>
        <family val="2"/>
        <scheme val="minor"/>
      </rPr>
      <t xml:space="preserve"> incorporating:
- Playing surfaces and car parks, including all construction works, landscaping, and related infrastructure
- Playground including play space, youth space, picnic facilities, and BBQ</t>
    </r>
  </si>
  <si>
    <r>
      <rPr>
        <b/>
        <sz val="9"/>
        <color theme="1"/>
        <rFont val="Calibri"/>
        <family val="2"/>
        <scheme val="minor"/>
      </rPr>
      <t>Bridge Road Sports Reserve</t>
    </r>
    <r>
      <rPr>
        <sz val="9"/>
        <color theme="1"/>
        <rFont val="Calibri"/>
        <family val="2"/>
        <scheme val="minor"/>
      </rPr>
      <t xml:space="preserve">
Construction of a sports reserve in </t>
    </r>
    <r>
      <rPr>
        <b/>
        <sz val="9"/>
        <color theme="1"/>
        <rFont val="Calibri"/>
        <family val="2"/>
        <scheme val="minor"/>
      </rPr>
      <t>Community Hub 6</t>
    </r>
    <r>
      <rPr>
        <sz val="9"/>
        <color theme="1"/>
        <rFont val="Calibri"/>
        <family val="2"/>
        <scheme val="minor"/>
      </rPr>
      <t xml:space="preserve">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
Area 2 Contribution (60%)</t>
    </r>
  </si>
  <si>
    <r>
      <rPr>
        <b/>
        <sz val="9"/>
        <color theme="1"/>
        <rFont val="Calibri"/>
        <family val="2"/>
        <scheme val="minor"/>
      </rPr>
      <t>Bridge Road Sports Reserve</t>
    </r>
    <r>
      <rPr>
        <sz val="9"/>
        <color theme="1"/>
        <rFont val="Calibri"/>
        <family val="2"/>
        <scheme val="minor"/>
      </rPr>
      <t xml:space="preserve">
Construction of a sports reserve in </t>
    </r>
    <r>
      <rPr>
        <b/>
        <sz val="9"/>
        <color theme="1"/>
        <rFont val="Calibri"/>
        <family val="2"/>
        <scheme val="minor"/>
      </rPr>
      <t>Community Hub 6</t>
    </r>
    <r>
      <rPr>
        <sz val="9"/>
        <color theme="1"/>
        <rFont val="Calibri"/>
        <family val="2"/>
        <scheme val="minor"/>
      </rPr>
      <t xml:space="preserve">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
Area 3 Contribution (40%)</t>
    </r>
  </si>
  <si>
    <r>
      <rPr>
        <b/>
        <sz val="9"/>
        <color rgb="FF000000"/>
        <rFont val="Calibri"/>
        <family val="2"/>
        <scheme val="minor"/>
      </rPr>
      <t>Intersection: Mount Cottrell Road and Shogaki Drive</t>
    </r>
    <r>
      <rPr>
        <sz val="9"/>
        <color rgb="FF000000"/>
        <rFont val="Calibri"/>
        <family val="2"/>
        <scheme val="minor"/>
      </rPr>
      <t xml:space="preserve">
Purchase of land and construction of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</si>
  <si>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Ferris Road and Shogaki Drive</t>
    </r>
    <r>
      <rPr>
        <sz val="9"/>
        <color rgb="FF000000"/>
        <rFont val="Calibri"/>
        <family val="2"/>
        <scheme val="minor"/>
      </rPr>
      <t xml:space="preserve">
Purchase of land and construction of signalised 4-way intersection (interim standard). </t>
    </r>
  </si>
  <si>
    <t>Not commenced</t>
  </si>
  <si>
    <t>Not acquired</t>
  </si>
  <si>
    <t>N/A</t>
  </si>
  <si>
    <t>Project deleted as Council does not include childcare rooms in early childhood centres</t>
  </si>
  <si>
    <t>Prepared</t>
  </si>
  <si>
    <t>Project Status</t>
  </si>
  <si>
    <t>Land Values from Jayson 
July 2021</t>
  </si>
  <si>
    <t>Construction value indexed 
July 2021</t>
  </si>
  <si>
    <t>New project from Rockbank DCP - RD06</t>
  </si>
  <si>
    <t>New project from Rockbank DCP - RD07</t>
  </si>
  <si>
    <t>New project from Rockbank DCP - RD08</t>
  </si>
  <si>
    <t>New project from Rockbank DCP - IT12</t>
  </si>
  <si>
    <t>New project from Rockbank DCP - IT13</t>
  </si>
  <si>
    <t>New project from Rockbank DCP - IT14</t>
  </si>
  <si>
    <t>New project from Rockbank DCP - BR04</t>
  </si>
  <si>
    <t>New project from Rockbank DCP - BR07</t>
  </si>
  <si>
    <t>Construction value indexed 
July 2020</t>
  </si>
  <si>
    <t>Under construction</t>
  </si>
  <si>
    <r>
      <rPr>
        <b/>
        <sz val="9"/>
        <color theme="1"/>
        <rFont val="Calibri"/>
        <family val="2"/>
        <scheme val="minor"/>
      </rPr>
      <t>Mount Cottrell Road: Western Freeway to Melbourne Ballarat Rail Line</t>
    </r>
    <r>
      <rPr>
        <sz val="9"/>
        <color theme="1"/>
        <rFont val="Calibri"/>
        <family val="2"/>
        <scheme val="minor"/>
      </rPr>
      <t xml:space="preserve">
Construction of a 2-lane arterial road (interim layout).
Purchase land (including native vegetation re-alignment) to increase reserve width from 20m to 41m (ultimate). </t>
    </r>
  </si>
  <si>
    <t>Land saving as Council owns the land</t>
  </si>
  <si>
    <t>Project Deletion Construction Saving</t>
  </si>
  <si>
    <r>
      <rPr>
        <b/>
        <sz val="9"/>
        <color theme="1"/>
        <rFont val="Calibri"/>
        <family val="2"/>
        <scheme val="minor"/>
      </rPr>
      <t>Mount Cottrell Road Level Crossing Upgrade</t>
    </r>
    <r>
      <rPr>
        <sz val="9"/>
        <color theme="1"/>
        <rFont val="Calibri"/>
        <family val="2"/>
        <scheme val="minor"/>
      </rPr>
      <t xml:space="preserve">
Construction of an upgrade to the level crossing at the intersection of Mount Cottrell Road and the Melbourne-Ballarat rail corridor, including automatic gates and pedestrian crossings (ultimate standard). 
Note: Mount Cottrell Road level crossing will be closed upon completion of the construction of the Mount Cottrell Road Overpass (BD20).</t>
    </r>
  </si>
  <si>
    <t>Existing Project Savings through Apportionments</t>
  </si>
  <si>
    <t>New Project Savings through Apportionments</t>
  </si>
  <si>
    <t>Land partially acquired
Road partially constructed (north of IT26)</t>
  </si>
  <si>
    <t>Balance Sheet</t>
  </si>
  <si>
    <t>New Projects</t>
  </si>
  <si>
    <t>Project ID No</t>
  </si>
  <si>
    <t>Project Name and Description</t>
  </si>
  <si>
    <t>Value</t>
  </si>
  <si>
    <r>
      <rPr>
        <b/>
        <sz val="10"/>
        <color theme="1"/>
        <rFont val="Calibri"/>
        <family val="2"/>
        <scheme val="minor"/>
      </rPr>
      <t>Bridge Road Community Centre</t>
    </r>
    <r>
      <rPr>
        <sz val="10"/>
        <color theme="1"/>
        <rFont val="Calibri"/>
        <family val="2"/>
        <scheme val="minor"/>
      </rPr>
      <t xml:space="preserve">
Purchase of land and construction of a multi-purpose community centre (Level 2) in Community Hub 6 - childcare components. 
Area 2 contribution (60%) </t>
    </r>
  </si>
  <si>
    <r>
      <rPr>
        <b/>
        <sz val="10"/>
        <color theme="1"/>
        <rFont val="Calibri"/>
        <family val="2"/>
        <scheme val="minor"/>
      </rPr>
      <t>Bridge Road Community Centre</t>
    </r>
    <r>
      <rPr>
        <sz val="10"/>
        <color theme="1"/>
        <rFont val="Calibri"/>
        <family val="2"/>
        <scheme val="minor"/>
      </rPr>
      <t xml:space="preserve">
Purchase of land and construction of a multi-purpose community centre (Level 2) in Community Hub 6 - childcare components. 
Area 3 contribution (40%) </t>
    </r>
  </si>
  <si>
    <r>
      <rPr>
        <b/>
        <sz val="10"/>
        <color theme="1"/>
        <rFont val="Calibri"/>
        <family val="2"/>
        <scheme val="minor"/>
      </rPr>
      <t>Cobblebank Indoor Recreation Centre</t>
    </r>
    <r>
      <rPr>
        <sz val="10"/>
        <color theme="1"/>
        <rFont val="Calibri"/>
        <family val="2"/>
        <scheme val="minor"/>
      </rPr>
      <t xml:space="preserve">
Indoor Recreation Centre located within the Metropolitan Activity Centre.</t>
    </r>
  </si>
  <si>
    <r>
      <rPr>
        <b/>
        <sz val="10"/>
        <color theme="1"/>
        <rFont val="Calibri"/>
        <family val="2"/>
        <scheme val="minor"/>
      </rPr>
      <t>Cobblebank Higher Order Civic Facility</t>
    </r>
    <r>
      <rPr>
        <sz val="10"/>
        <color theme="1"/>
        <rFont val="Calibri"/>
        <family val="2"/>
        <scheme val="minor"/>
      </rPr>
      <t xml:space="preserve">
Higher Order Civic Facility, including a Level 3 Community Centre, located within the Metropolitan Activity Centre.</t>
    </r>
  </si>
  <si>
    <r>
      <rPr>
        <b/>
        <sz val="10"/>
        <color rgb="FF000000"/>
        <rFont val="Calibri"/>
        <family val="2"/>
        <scheme val="minor"/>
      </rPr>
      <t xml:space="preserve">Shared Use Pedestrian Bridge (No. 5). </t>
    </r>
    <r>
      <rPr>
        <sz val="10"/>
        <color rgb="FF000000"/>
        <rFont val="Calibri"/>
        <family val="2"/>
        <scheme val="minor"/>
      </rPr>
      <t xml:space="preserve">
Bridge over Toolern Creek, incorporating abutments and lighting (3-metre wide timber structure, deck length 30 metres).</t>
    </r>
  </si>
  <si>
    <r>
      <rPr>
        <b/>
        <sz val="10"/>
        <color rgb="FF000000"/>
        <rFont val="Calibri"/>
        <family val="2"/>
        <scheme val="minor"/>
      </rPr>
      <t xml:space="preserve">Shared Use Pedestrian Bridge (No. 4). </t>
    </r>
    <r>
      <rPr>
        <sz val="10"/>
        <color rgb="FF000000"/>
        <rFont val="Calibri"/>
        <family val="2"/>
        <scheme val="minor"/>
      </rPr>
      <t xml:space="preserve">
Bridge over Toolern Creek, incorporating abutments and lighting (3-metre wide timber structure, deck length 30 metres).</t>
    </r>
  </si>
  <si>
    <r>
      <rPr>
        <b/>
        <sz val="10"/>
        <color rgb="FF000000"/>
        <rFont val="Calibri"/>
        <family val="2"/>
        <scheme val="minor"/>
      </rPr>
      <t xml:space="preserve">Pedestrian Underpass 5: Melbourne Ballarat Railway. </t>
    </r>
    <r>
      <rPr>
        <sz val="10"/>
        <color rgb="FF000000"/>
        <rFont val="Calibri"/>
        <family val="2"/>
        <scheme val="minor"/>
      </rPr>
      <t xml:space="preserve">
Construction, including 3-metre wide, 50-metre long box culverts, end walls, concrete path, drainage, and lighting.</t>
    </r>
  </si>
  <si>
    <r>
      <rPr>
        <b/>
        <sz val="10"/>
        <color rgb="FF000000"/>
        <rFont val="Calibri"/>
        <family val="2"/>
        <scheme val="minor"/>
      </rPr>
      <t xml:space="preserve">Pedestrian Underpass 3: Melbourne Ballarat Railway. </t>
    </r>
    <r>
      <rPr>
        <sz val="10"/>
        <color rgb="FF000000"/>
        <rFont val="Calibri"/>
        <family val="2"/>
        <scheme val="minor"/>
      </rPr>
      <t xml:space="preserve">
Construction, including 3-metre wide, 50-metre long box culverts, end walls, concrete path, drainage, and lighting.</t>
    </r>
  </si>
  <si>
    <r>
      <rPr>
        <b/>
        <sz val="10"/>
        <color rgb="FF000000"/>
        <rFont val="Calibri"/>
        <family val="2"/>
        <scheme val="minor"/>
      </rPr>
      <t xml:space="preserve">Mount Cottrell Road and Greigs Road: Intersection. </t>
    </r>
    <r>
      <rPr>
        <sz val="10"/>
        <color rgb="FF000000"/>
        <rFont val="Calibri"/>
        <family val="2"/>
        <scheme val="minor"/>
      </rPr>
      <t xml:space="preserve">
Intersection upgrade - construction of roundabout.</t>
    </r>
  </si>
  <si>
    <r>
      <rPr>
        <b/>
        <sz val="10"/>
        <color rgb="FF000000"/>
        <rFont val="Calibri"/>
        <family val="2"/>
        <scheme val="minor"/>
      </rPr>
      <t xml:space="preserve">Paynes Road and Greigs Road: Intersection. </t>
    </r>
    <r>
      <rPr>
        <sz val="10"/>
        <color rgb="FF000000"/>
        <rFont val="Calibri"/>
        <family val="2"/>
        <scheme val="minor"/>
      </rPr>
      <t xml:space="preserve">
Upgrade of protected right-turn lane and left-turn deceleration lane, including drainage and landscaping.</t>
    </r>
  </si>
  <si>
    <r>
      <rPr>
        <b/>
        <sz val="10"/>
        <color rgb="FF000000"/>
        <rFont val="Calibri"/>
        <family val="2"/>
        <scheme val="minor"/>
      </rPr>
      <t>Ferris Road: Melbourne Ballarat Rail Line to Toolern Road (IT05)</t>
    </r>
    <r>
      <rPr>
        <sz val="10"/>
        <color rgb="FF000000"/>
        <rFont val="Calibri"/>
        <family val="2"/>
        <scheme val="minor"/>
      </rPr>
      <t xml:space="preserve">
Purchase land to increase reserve width from 20m to 38m, for balance of required land (excluding Property 30). </t>
    </r>
  </si>
  <si>
    <r>
      <rPr>
        <b/>
        <sz val="10"/>
        <color rgb="FF000000"/>
        <rFont val="Calibri"/>
        <family val="2"/>
        <scheme val="minor"/>
      </rPr>
      <t xml:space="preserve">Mount Cottrell Road: Toolern Boundary to Greigs Road. </t>
    </r>
    <r>
      <rPr>
        <sz val="10"/>
        <color rgb="FF000000"/>
        <rFont val="Calibri"/>
        <family val="2"/>
        <scheme val="minor"/>
      </rPr>
      <t xml:space="preserve">
Upgrade existing 2-lane unsealed rural road to provide 2-lane carriageway (length 1,045 metres). </t>
    </r>
  </si>
  <si>
    <r>
      <rPr>
        <b/>
        <sz val="10"/>
        <color rgb="FF000000"/>
        <rFont val="Calibri"/>
        <family val="2"/>
        <scheme val="minor"/>
      </rPr>
      <t xml:space="preserve">Paynes Road: Toolern Boundary to Greigs Road. </t>
    </r>
    <r>
      <rPr>
        <sz val="10"/>
        <color rgb="FF000000"/>
        <rFont val="Calibri"/>
        <family val="2"/>
        <scheme val="minor"/>
      </rPr>
      <t xml:space="preserve">
Upgrade existing 2-lane unsealed rural road to provide 2-lane carriageway (length 725 metres). </t>
    </r>
  </si>
  <si>
    <r>
      <rPr>
        <b/>
        <sz val="10"/>
        <color theme="1"/>
        <rFont val="Calibri"/>
        <family val="2"/>
        <scheme val="minor"/>
      </rPr>
      <t>Toolern Road: Toolern Creek (BD03) to Ferris Road (IT05)</t>
    </r>
    <r>
      <rPr>
        <sz val="10"/>
        <color theme="1"/>
        <rFont val="Calibri"/>
        <family val="2"/>
        <scheme val="minor"/>
      </rPr>
      <t xml:space="preserve">
Construction of a 2-lane arterial road (interim layout). 
Purchase land to increase reserve from 0m to 34m (ultimate).  </t>
    </r>
  </si>
  <si>
    <t>Land acquisition deleted - Council owns the land already</t>
  </si>
  <si>
    <t xml:space="preserve">Entire project deleted </t>
  </si>
  <si>
    <t>Change made</t>
  </si>
  <si>
    <r>
      <rPr>
        <b/>
        <sz val="10"/>
        <color rgb="FF000000"/>
        <rFont val="Calibri"/>
        <family val="2"/>
        <scheme val="minor"/>
      </rPr>
      <t>Mount Cottrell Road: Western Freeway to Melbourne Ballarat Rail Line</t>
    </r>
    <r>
      <rPr>
        <sz val="10"/>
        <color rgb="FF000000"/>
        <rFont val="Calibri"/>
        <family val="2"/>
        <scheme val="minor"/>
      </rPr>
      <t xml:space="preserve">
Construction of a 2-lane arterial road (interim layout).
Purchase land (including native vegetation re-alignment) to increase reserve width from 20m to 41m (ultimate). </t>
    </r>
  </si>
  <si>
    <r>
      <rPr>
        <b/>
        <sz val="10"/>
        <color rgb="FF000000"/>
        <rFont val="Calibri"/>
        <family val="2"/>
        <scheme val="minor"/>
      </rPr>
      <t>Intersection: Mount Cottrell Road and Shogaki Drive</t>
    </r>
    <r>
      <rPr>
        <sz val="10"/>
        <color rgb="FF000000"/>
        <rFont val="Calibri"/>
        <family val="2"/>
        <scheme val="minor"/>
      </rPr>
      <t xml:space="preserve">
Purchase of land and construction of signalised 4-way intersection (interim standard).</t>
    </r>
  </si>
  <si>
    <r>
      <rPr>
        <b/>
        <sz val="10"/>
        <color rgb="FF000000"/>
        <rFont val="Calibri"/>
        <family val="2"/>
        <scheme val="minor"/>
      </rPr>
      <t>Intersection: Mount Cottrell Road and Baxterpark Drive</t>
    </r>
    <r>
      <rPr>
        <sz val="10"/>
        <color rgb="FF000000"/>
        <rFont val="Calibri"/>
        <family val="2"/>
        <scheme val="minor"/>
      </rPr>
      <t xml:space="preserve">
Construction of signalised T-intersection (interim standard).</t>
    </r>
  </si>
  <si>
    <t>50% Apportioned to 
Paynes Road DCP</t>
  </si>
  <si>
    <r>
      <rPr>
        <b/>
        <sz val="10"/>
        <color rgb="FF000000"/>
        <rFont val="Calibri"/>
        <family val="2"/>
        <scheme val="minor"/>
      </rPr>
      <t>Intersection: Toolern Road and Paynes Road</t>
    </r>
    <r>
      <rPr>
        <sz val="10"/>
        <color rgb="FF000000"/>
        <rFont val="Calibri"/>
        <family val="2"/>
        <scheme val="minor"/>
      </rPr>
      <t xml:space="preserve">
Construction of signalised 4-way intersection (interim standard). </t>
    </r>
  </si>
  <si>
    <t>50% Apportioned to 
Rockbank DCP</t>
  </si>
  <si>
    <r>
      <rPr>
        <b/>
        <sz val="10"/>
        <color theme="1"/>
        <rFont val="Calibri"/>
        <family val="2"/>
        <scheme val="minor"/>
      </rPr>
      <t>Paynes Road: Alfred Road (IT30) to East-West Connector Road 1 (IT31)</t>
    </r>
    <r>
      <rPr>
        <sz val="10"/>
        <color theme="1"/>
        <rFont val="Calibri"/>
        <family val="2"/>
        <scheme val="minor"/>
      </rPr>
      <t xml:space="preserve">
Construction of a 2-lane arterial road (interim standard).</t>
    </r>
  </si>
  <si>
    <r>
      <rPr>
        <b/>
        <sz val="10"/>
        <color theme="1"/>
        <rFont val="Calibri"/>
        <family val="2"/>
        <scheme val="minor"/>
      </rPr>
      <t>Paynes Road: East-West Connector Road 1 (IT31) to Toolern Road (IT07)</t>
    </r>
    <r>
      <rPr>
        <sz val="10"/>
        <color theme="1"/>
        <rFont val="Calibri"/>
        <family val="2"/>
        <scheme val="minor"/>
      </rPr>
      <t xml:space="preserve">
Construction of a 2-lane arterial road (interim standard).</t>
    </r>
  </si>
  <si>
    <r>
      <rPr>
        <b/>
        <sz val="10"/>
        <color theme="1"/>
        <rFont val="Calibri"/>
        <family val="2"/>
        <scheme val="minor"/>
      </rPr>
      <t>Paynes Road: Toolern Road (IT07) to East-West Connector Road 2 (IT32)</t>
    </r>
    <r>
      <rPr>
        <sz val="10"/>
        <color theme="1"/>
        <rFont val="Calibri"/>
        <family val="2"/>
        <scheme val="minor"/>
      </rPr>
      <t xml:space="preserve">
Construction of a 2-lane arterial road (interim standard).</t>
    </r>
  </si>
  <si>
    <r>
      <rPr>
        <b/>
        <sz val="10"/>
        <color theme="1"/>
        <rFont val="Calibri"/>
        <family val="2"/>
        <scheme val="minor"/>
      </rPr>
      <t>Intersection: Paynes Road and Alfred Road</t>
    </r>
    <r>
      <rPr>
        <sz val="10"/>
        <color theme="1"/>
        <rFont val="Calibri"/>
        <family val="2"/>
        <scheme val="minor"/>
      </rPr>
      <t xml:space="preserve">
Construction of a signalised 4-way intersection (interim standard).</t>
    </r>
  </si>
  <si>
    <t>Altered Projects</t>
  </si>
  <si>
    <r>
      <rPr>
        <b/>
        <sz val="10"/>
        <color theme="1"/>
        <rFont val="Calibri"/>
        <family val="2"/>
        <scheme val="minor"/>
      </rPr>
      <t>Intersection: Paynes Road and East-West Connector Road 1</t>
    </r>
    <r>
      <rPr>
        <sz val="10"/>
        <color theme="1"/>
        <rFont val="Calibri"/>
        <family val="2"/>
        <scheme val="minor"/>
      </rPr>
      <t xml:space="preserve">
Construction of a signalised 4-way intersection (interim standard).</t>
    </r>
  </si>
  <si>
    <r>
      <rPr>
        <b/>
        <sz val="10"/>
        <color theme="1"/>
        <rFont val="Calibri"/>
        <family val="2"/>
        <scheme val="minor"/>
      </rPr>
      <t>Intersection: Paynes Road and East-West Connector Road 2</t>
    </r>
    <r>
      <rPr>
        <sz val="10"/>
        <color theme="1"/>
        <rFont val="Calibri"/>
        <family val="2"/>
        <scheme val="minor"/>
      </rPr>
      <t xml:space="preserve">
Construction of a signalised 3-way intersection (interim standard).</t>
    </r>
  </si>
  <si>
    <r>
      <rPr>
        <b/>
        <sz val="10"/>
        <color theme="1"/>
        <rFont val="Calibri"/>
        <family val="2"/>
        <scheme val="minor"/>
      </rPr>
      <t>Paynes Road Rail Overpass</t>
    </r>
    <r>
      <rPr>
        <sz val="10"/>
        <color theme="1"/>
        <rFont val="Calibri"/>
        <family val="2"/>
        <scheme val="minor"/>
      </rPr>
      <t xml:space="preserve">
Construction of a rail-road grade separation at the intersection of Paynes Road and the Melbourne-Ballarat rail corridor (interim standard).</t>
    </r>
  </si>
  <si>
    <r>
      <rPr>
        <b/>
        <sz val="10"/>
        <color theme="1"/>
        <rFont val="Calibri"/>
        <family val="2"/>
        <scheme val="minor"/>
      </rPr>
      <t>Paynes Road Level Crossing Upgrade</t>
    </r>
    <r>
      <rPr>
        <sz val="10"/>
        <color theme="1"/>
        <rFont val="Calibri"/>
        <family val="2"/>
        <scheme val="minor"/>
      </rPr>
      <t xml:space="preserve">
Construction of an upgrade to the level crossing at the intersection of Paynes Road and the Melbourne-Ballarat rail corridor, including automatic gates and pedestrian crossings (ultimate standard). </t>
    </r>
  </si>
  <si>
    <r>
      <rPr>
        <b/>
        <sz val="10"/>
        <color theme="1"/>
        <rFont val="Calibri"/>
        <family val="2"/>
        <scheme val="minor"/>
      </rPr>
      <t>Mount Cottrell Road Level Crossing Upgrade</t>
    </r>
    <r>
      <rPr>
        <sz val="10"/>
        <color theme="1"/>
        <rFont val="Calibri"/>
        <family val="2"/>
        <scheme val="minor"/>
      </rPr>
      <t xml:space="preserve">
Construction of an upgrade to the level crossing at the intersection of Mount Cottrell Road and the Melbourne-Ballarat rail corridor, including automatic gates and pedestrian crossings (ultimate standard). </t>
    </r>
  </si>
  <si>
    <r>
      <rPr>
        <b/>
        <sz val="10"/>
        <color theme="1"/>
        <rFont val="Calibri"/>
        <family val="2"/>
        <scheme val="minor"/>
      </rPr>
      <t>Intersection: Ferris Road and Enterprise Street</t>
    </r>
    <r>
      <rPr>
        <sz val="10"/>
        <color theme="1"/>
        <rFont val="Calibri"/>
        <family val="2"/>
        <scheme val="minor"/>
      </rPr>
      <t xml:space="preserve">
Construction of a signalised 4-way intersection (interim standard).</t>
    </r>
  </si>
  <si>
    <r>
      <rPr>
        <b/>
        <sz val="10"/>
        <color theme="1"/>
        <rFont val="Calibri"/>
        <family val="2"/>
        <scheme val="minor"/>
      </rPr>
      <t>Ferris Road Rail Overpass</t>
    </r>
    <r>
      <rPr>
        <sz val="10"/>
        <color theme="1"/>
        <rFont val="Calibri"/>
        <family val="2"/>
        <scheme val="minor"/>
      </rPr>
      <t xml:space="preserve">
Construction of a rail-road grade separation at the intersection of Ferris Road and the Melbourne-Ballarat rail corridor (interim standard).</t>
    </r>
  </si>
  <si>
    <r>
      <rPr>
        <b/>
        <sz val="10"/>
        <color theme="1"/>
        <rFont val="Calibri"/>
        <family val="2"/>
        <scheme val="minor"/>
      </rPr>
      <t>East Road Rail Overpass</t>
    </r>
    <r>
      <rPr>
        <sz val="10"/>
        <color theme="1"/>
        <rFont val="Calibri"/>
        <family val="2"/>
        <scheme val="minor"/>
      </rPr>
      <t xml:space="preserve">
Construction of a rail-road grade separation at the intersection of East Road and the Melbourne-Ballarat rail corridor (interim standard).</t>
    </r>
  </si>
  <si>
    <t>Community and Recreation Projects</t>
  </si>
  <si>
    <t>Toolern DCP Value</t>
  </si>
  <si>
    <t>Extermal Apportionment</t>
  </si>
  <si>
    <r>
      <rPr>
        <b/>
        <sz val="9"/>
        <color rgb="FF000000"/>
        <rFont val="Calibri"/>
        <family val="2"/>
        <scheme val="minor"/>
      </rPr>
      <t>Intersection: Exford Road and Elpis Road</t>
    </r>
    <r>
      <rPr>
        <sz val="9"/>
        <color rgb="FF000000"/>
        <rFont val="Calibri"/>
        <family val="2"/>
        <scheme val="minor"/>
      </rPr>
      <t xml:space="preserve">
Construction of signalised T-intersection (interim standard).</t>
    </r>
  </si>
  <si>
    <t>Land partially acquired
Road constructed</t>
  </si>
  <si>
    <t>Commited project</t>
  </si>
  <si>
    <t>Construction value indexed 
July 2022</t>
  </si>
  <si>
    <t>Commited project
Part of the Bridge Road extension project to the Hospital</t>
  </si>
  <si>
    <r>
      <rPr>
        <b/>
        <sz val="9"/>
        <color theme="1"/>
        <rFont val="Calibri"/>
        <family val="2"/>
        <scheme val="minor"/>
      </rPr>
      <t>Toolern Creek Regional Park Trail</t>
    </r>
    <r>
      <rPr>
        <sz val="9"/>
        <color theme="1"/>
        <rFont val="Calibri"/>
        <family val="2"/>
        <scheme val="minor"/>
      </rPr>
      <t xml:space="preserve">
Concrete Shared Path including pavement, drainage, and landscaping (3 metres wide, length 3,250 metres)</t>
    </r>
  </si>
  <si>
    <t>Under Construction
Toolern Development Contributions Plan, VPA
Indexed to $2021</t>
  </si>
  <si>
    <r>
      <rPr>
        <b/>
        <sz val="9"/>
        <color theme="1"/>
        <rFont val="Calibri"/>
        <family val="2"/>
        <scheme val="minor"/>
      </rPr>
      <t>Exford Road: East West Arterial (IT02) to Exford Road (IT03)</t>
    </r>
    <r>
      <rPr>
        <sz val="9"/>
        <color theme="1"/>
        <rFont val="Calibri"/>
        <family val="2"/>
        <scheme val="minor"/>
      </rPr>
      <t xml:space="preserve">
Re-construct existing 2-lane road to provide 2-lane arterial road (interim layout). 
Purchase land to increase reserve width from 20m to 34m (ultimate). </t>
    </r>
  </si>
  <si>
    <r>
      <rPr>
        <b/>
        <sz val="9"/>
        <color theme="1"/>
        <rFont val="Calibri"/>
        <family val="2"/>
        <scheme val="minor"/>
      </rPr>
      <t>Exford Road: Exford Road (IT03) to Greigs Road (IT04)</t>
    </r>
    <r>
      <rPr>
        <sz val="9"/>
        <color theme="1"/>
        <rFont val="Calibri"/>
        <family val="2"/>
        <scheme val="minor"/>
      </rPr>
      <t xml:space="preserve">
Construction of a 2-lane arterial road (interim layout). 
Purchase land to increase reserve width from 20m to 34m (ultimate).  </t>
    </r>
  </si>
  <si>
    <r>
      <rPr>
        <b/>
        <sz val="9"/>
        <color theme="1"/>
        <rFont val="Calibri"/>
        <family val="2"/>
        <scheme val="minor"/>
      </rPr>
      <t>Exford Road: Exford Road (IT03) to Toolern Creek (BD03)</t>
    </r>
    <r>
      <rPr>
        <sz val="9"/>
        <color theme="1"/>
        <rFont val="Calibri"/>
        <family val="2"/>
        <scheme val="minor"/>
      </rPr>
      <t xml:space="preserve">
Construction of a 2-lane arterial road (interim layout). 
Purchase land to increase reserve width from 0m to 34m (ultimate). </t>
    </r>
  </si>
  <si>
    <r>
      <rPr>
        <b/>
        <sz val="9"/>
        <color theme="1"/>
        <rFont val="Calibri"/>
        <family val="2"/>
        <scheme val="minor"/>
      </rPr>
      <t>Exford Road: Toolern Creek (BD03) to Ferris Road (IT05)</t>
    </r>
    <r>
      <rPr>
        <sz val="9"/>
        <color theme="1"/>
        <rFont val="Calibri"/>
        <family val="2"/>
        <scheme val="minor"/>
      </rPr>
      <t xml:space="preserve">
Construction of a 2-lane arterial road (interim layout). 
Create road reserve 34m (ultimate).  </t>
    </r>
  </si>
  <si>
    <r>
      <rPr>
        <b/>
        <sz val="9"/>
        <color theme="1"/>
        <rFont val="Calibri"/>
        <family val="2"/>
        <scheme val="minor"/>
      </rPr>
      <t xml:space="preserve">Exford Road: Ferris Road (IT05) to Mount Cottrell Road (IT06) </t>
    </r>
    <r>
      <rPr>
        <sz val="9"/>
        <color theme="1"/>
        <rFont val="Calibri"/>
        <family val="2"/>
        <scheme val="minor"/>
      </rPr>
      <t xml:space="preserve">
Construction of a 2-lane arterial road. (interim layout).
Purchase land to increase reserve width from 0m to 34m (ultimate). </t>
    </r>
  </si>
  <si>
    <r>
      <rPr>
        <b/>
        <sz val="9"/>
        <color theme="1"/>
        <rFont val="Calibri"/>
        <family val="2"/>
        <scheme val="minor"/>
      </rPr>
      <t>Exford Road: Mount Cottrell Road (IT06) to Paynes Road (IT07)</t>
    </r>
    <r>
      <rPr>
        <sz val="9"/>
        <color theme="1"/>
        <rFont val="Calibri"/>
        <family val="2"/>
        <scheme val="minor"/>
      </rPr>
      <t xml:space="preserve">
Construction of a 2-lane arterial road (interim layout). 
Purchase land to increase reserve width to 0m to 45m (ultimate).  </t>
    </r>
  </si>
  <si>
    <r>
      <rPr>
        <b/>
        <sz val="9"/>
        <color theme="1"/>
        <rFont val="Calibri"/>
        <family val="2"/>
        <scheme val="minor"/>
      </rPr>
      <t>Ferris Road: Melbourne Ballarat Rail Line to Exford Road (IT05)</t>
    </r>
    <r>
      <rPr>
        <sz val="9"/>
        <color theme="1"/>
        <rFont val="Calibri"/>
        <family val="2"/>
        <scheme val="minor"/>
      </rPr>
      <t xml:space="preserve">
Construction of a 2-lane arterial road (interim layout). </t>
    </r>
  </si>
  <si>
    <r>
      <rPr>
        <b/>
        <sz val="9"/>
        <color theme="1"/>
        <rFont val="Calibri"/>
        <family val="2"/>
        <scheme val="minor"/>
      </rPr>
      <t>Ferris Road: Melbourne Ballarat Rail Line to Exford Road (IT05)</t>
    </r>
    <r>
      <rPr>
        <sz val="9"/>
        <color theme="1"/>
        <rFont val="Calibri"/>
        <family val="2"/>
        <scheme val="minor"/>
      </rPr>
      <t xml:space="preserve">
Purchase land to increase reserve width from 20m to 38m, for road section on Property 30 only. </t>
    </r>
  </si>
  <si>
    <r>
      <rPr>
        <b/>
        <sz val="9"/>
        <color theme="1"/>
        <rFont val="Calibri"/>
        <family val="2"/>
        <scheme val="minor"/>
      </rPr>
      <t>Ferris Road: Melbourne Ballarat Rail Line to Exford Road (IT05)</t>
    </r>
    <r>
      <rPr>
        <sz val="9"/>
        <color theme="1"/>
        <rFont val="Calibri"/>
        <family val="2"/>
        <scheme val="minor"/>
      </rPr>
      <t xml:space="preserve">
Purchase land to increase reserve width from 20m to 38m, for balance of required land (excluding Property 30). </t>
    </r>
  </si>
  <si>
    <r>
      <rPr>
        <b/>
        <sz val="9"/>
        <color theme="1"/>
        <rFont val="Calibri"/>
        <family val="2"/>
        <scheme val="minor"/>
      </rPr>
      <t>Paynes Road: East-West Connector Road 1 (IT31) to Exford Road (IT07)</t>
    </r>
    <r>
      <rPr>
        <sz val="9"/>
        <color theme="1"/>
        <rFont val="Calibri"/>
        <family val="2"/>
        <scheme val="minor"/>
      </rPr>
      <t xml:space="preserve">
Construction of a 2-lane arterial road (interim standard).</t>
    </r>
  </si>
  <si>
    <r>
      <rPr>
        <b/>
        <sz val="9"/>
        <color rgb="FF000000"/>
        <rFont val="Calibri"/>
        <family val="2"/>
        <scheme val="minor"/>
      </rPr>
      <t>Intersection: Exford Road and Exford Road</t>
    </r>
    <r>
      <rPr>
        <sz val="9"/>
        <color rgb="FF000000"/>
        <rFont val="Calibri"/>
        <family val="2"/>
        <scheme val="minor"/>
      </rPr>
      <t xml:space="preserve">
Construction of signalised T-intersection (interim standard).</t>
    </r>
  </si>
  <si>
    <r>
      <rPr>
        <b/>
        <sz val="9"/>
        <color rgb="FF000000"/>
        <rFont val="Calibri"/>
        <family val="2"/>
        <scheme val="minor"/>
      </rPr>
      <t>Intersection: Exford Road and Ferris Road</t>
    </r>
    <r>
      <rPr>
        <sz val="9"/>
        <color rgb="FF000000"/>
        <rFont val="Calibri"/>
        <family val="2"/>
        <scheme val="minor"/>
      </rPr>
      <t xml:space="preserve">
Purchase of land and construction of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</si>
  <si>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Exford Road and Mount Cottrell Road</t>
    </r>
    <r>
      <rPr>
        <sz val="9"/>
        <color rgb="FF000000"/>
        <rFont val="Calibri"/>
        <family val="2"/>
        <scheme val="minor"/>
      </rPr>
      <t xml:space="preserve">
Purchase of land and construction of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</si>
  <si>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Exford Road and Paynes Road</t>
    </r>
    <r>
      <rPr>
        <sz val="9"/>
        <color rgb="FF000000"/>
        <rFont val="Calibri"/>
        <family val="2"/>
        <scheme val="minor"/>
      </rPr>
      <t xml:space="preserve">
Construction of signalised 4-way intersection (interim standard). </t>
    </r>
  </si>
  <si>
    <r>
      <rPr>
        <b/>
        <sz val="9"/>
        <color rgb="FF000000"/>
        <rFont val="Calibri"/>
        <family val="2"/>
        <scheme val="minor"/>
      </rPr>
      <t xml:space="preserve">Intersection: Exford Road and Eastern North-South Connector Road </t>
    </r>
    <r>
      <rPr>
        <sz val="9"/>
        <color rgb="FF000000"/>
        <rFont val="Calibri"/>
        <family val="2"/>
        <scheme val="minor"/>
      </rPr>
      <t xml:space="preserve">
Construction of signalised 4-way intersection (interim standard). </t>
    </r>
  </si>
  <si>
    <r>
      <rPr>
        <b/>
        <sz val="9"/>
        <color rgb="FF000000"/>
        <rFont val="Calibri"/>
        <family val="2"/>
        <scheme val="minor"/>
      </rPr>
      <t>Intersection: Exford Road and Central North-South Connector Road</t>
    </r>
    <r>
      <rPr>
        <sz val="9"/>
        <color rgb="FF000000"/>
        <rFont val="Calibri"/>
        <family val="2"/>
        <scheme val="minor"/>
      </rPr>
      <t xml:space="preserve">
Construction of signalised 4-way intersection (interim standard).</t>
    </r>
  </si>
  <si>
    <r>
      <rPr>
        <b/>
        <sz val="9"/>
        <color rgb="FF000000"/>
        <rFont val="Calibri"/>
        <family val="2"/>
        <scheme val="minor"/>
      </rPr>
      <t>Intersection: Exford Road and Western North-South Connector Road</t>
    </r>
    <r>
      <rPr>
        <sz val="9"/>
        <color rgb="FF000000"/>
        <rFont val="Calibri"/>
        <family val="2"/>
        <scheme val="minor"/>
      </rPr>
      <t xml:space="preserve">
Construction of signalised T-intersection (interim standard).</t>
    </r>
  </si>
  <si>
    <r>
      <rPr>
        <b/>
        <sz val="9"/>
        <color theme="1"/>
        <rFont val="Calibri"/>
        <family val="2"/>
        <scheme val="minor"/>
      </rPr>
      <t>Exford Road Bridge</t>
    </r>
    <r>
      <rPr>
        <sz val="9"/>
        <color theme="1"/>
        <rFont val="Calibri"/>
        <family val="2"/>
        <scheme val="minor"/>
      </rPr>
      <t xml:space="preserve">
Construction of an arterial road bridge over the Toolern Creek.</t>
    </r>
  </si>
  <si>
    <r>
      <rPr>
        <b/>
        <sz val="9"/>
        <color theme="1"/>
        <rFont val="Calibri"/>
        <family val="2"/>
        <scheme val="minor"/>
      </rPr>
      <t>Paynes Road: Exford Road (IT07) to East-West Connector Road 2 (IT32)</t>
    </r>
    <r>
      <rPr>
        <sz val="9"/>
        <color theme="1"/>
        <rFont val="Calibri"/>
        <family val="2"/>
        <scheme val="minor"/>
      </rPr>
      <t xml:space="preserve">
Construction of a 2-lane arterial road (interim standard).</t>
    </r>
  </si>
  <si>
    <t>Transport - Roads, Intersections and Bridges</t>
  </si>
  <si>
    <t>Community and Recreation infrastructure</t>
  </si>
  <si>
    <r>
      <rPr>
        <b/>
        <sz val="9"/>
        <color theme="1"/>
        <rFont val="Calibri"/>
        <family val="2"/>
        <scheme val="minor"/>
      </rPr>
      <t>Pedestrian Underpass 3: Melbourne Ballarat Railway</t>
    </r>
    <r>
      <rPr>
        <sz val="9"/>
        <color theme="1"/>
        <rFont val="Calibri"/>
        <family val="2"/>
        <scheme val="minor"/>
      </rPr>
      <t xml:space="preserve">
Construction of a pedestrian underpass.</t>
    </r>
  </si>
  <si>
    <r>
      <rPr>
        <b/>
        <sz val="9"/>
        <color theme="1"/>
        <rFont val="Calibri"/>
        <family val="2"/>
        <scheme val="minor"/>
      </rPr>
      <t>Mount Cottrell Road Freeway Interchange</t>
    </r>
    <r>
      <rPr>
        <sz val="9"/>
        <color theme="1"/>
        <rFont val="Calibri"/>
        <family val="2"/>
        <scheme val="minor"/>
      </rPr>
      <t xml:space="preserve">
Purchase of land for the construction of a half diamond interchange at the intersection of Mount Cottrell Road and the Western Freeway corridor (ultimate standard, southern approach only)</t>
    </r>
  </si>
  <si>
    <r>
      <rPr>
        <b/>
        <sz val="9"/>
        <color theme="1"/>
        <rFont val="Calibri"/>
        <family val="2"/>
        <scheme val="minor"/>
      </rPr>
      <t>Mount Cottrell Road Rail Overpass</t>
    </r>
    <r>
      <rPr>
        <sz val="9"/>
        <color theme="1"/>
        <rFont val="Calibri"/>
        <family val="2"/>
        <scheme val="minor"/>
      </rPr>
      <t xml:space="preserve">
Purchase of land for the construction of a rail-road grade separation at the intersection of Mount Cottrell Road and the Melbourne-Ballarat rail corridor (ultimate standard).</t>
    </r>
  </si>
  <si>
    <t>Stormwater increases from 1.11 Ha to 2.48 Ha</t>
  </si>
  <si>
    <t>Stormwater increases from 5.06 Ha to 5.3 Ha</t>
  </si>
  <si>
    <t>stormwater increases from 3.35 Ha to 3.36 Ha</t>
  </si>
  <si>
    <t>Stormwater increases from 1.55 Ha to 2.92 Ha</t>
  </si>
  <si>
    <t>Stormwater increases from 0.0 Ha to 2.20 Ha</t>
  </si>
  <si>
    <t>Stormwater increases from 13.63 Ha to 14.98 Ha</t>
  </si>
  <si>
    <t>Stormwater increases from 1.69 ha to 1.90 Ha</t>
  </si>
  <si>
    <t>Stormwater increases from 1.95 ha to 1.96 Ha</t>
  </si>
  <si>
    <t>Stormater decreases from 1.35 Ha to 1.33 Ha</t>
  </si>
  <si>
    <t>Stormwater increases from 0.08 Ha to 2.33 Ha</t>
  </si>
  <si>
    <t>Stormwater increases from 0.00 Ha to 0.28 Ha 
Most of this stomrwater asset is recorded as conservation area</t>
  </si>
  <si>
    <t>Stormwater area is located within the conservation reserve</t>
  </si>
  <si>
    <t>Stormwater increases from 2.17 Ha to 3.27 Ha</t>
  </si>
  <si>
    <t>Stormwater increases from 5.41 Ha to 5.55 Ha</t>
  </si>
  <si>
    <t>Stormwater decreases from 0.19 Ha to 0.00 Ha</t>
  </si>
  <si>
    <t>Stormwater decreases from 5.73 Ha to 4.28 Ha</t>
  </si>
  <si>
    <t>Stormwater increases from 0.17 Ha to 0.54 Ha</t>
  </si>
  <si>
    <t>Stormwater decreases from 2.29 Ha to 2.16 Ha</t>
  </si>
  <si>
    <t>Stormwater increases from 0.40 ha to 0.70 Ha</t>
  </si>
  <si>
    <t>Stormwater increases from 1.19 Ha to 1.50 Ha</t>
  </si>
  <si>
    <t>Stormwater increases from 4.73 Ha to 5.53 Ha</t>
  </si>
  <si>
    <t>Stormwater increases from 2.53 Ha to 3.12 Ha</t>
  </si>
  <si>
    <t>Stormwater increases from 1.60 Ha to 1.86 Ha</t>
  </si>
  <si>
    <t>Stormwater increases from 2.72 Ha to 3.42 Ha</t>
  </si>
  <si>
    <t>Stormwater increases from 1.64 Ha to 1.81 Ha</t>
  </si>
  <si>
    <t>Stormwater decreases from 1.65 Ha to 0.00 Ha</t>
  </si>
  <si>
    <t>Stormwater increases from 1.37 ha to 1.65 Ha</t>
  </si>
  <si>
    <t>Stormwater decreases from 0.04 ha to 0.00 Ha</t>
  </si>
  <si>
    <t>Stormwater increases from 0.79 ha to 0.92 Ha</t>
  </si>
  <si>
    <t>Stormwater decreases from 0.46 ha to 0.00 Ha</t>
  </si>
  <si>
    <t>Stormwater decreases from 1.62 ha to 0.00 Ha</t>
  </si>
  <si>
    <t>Stormwater increases from 1.11 Ha to 1.16 Ha</t>
  </si>
  <si>
    <t>Stormwater increases from 0.00 Ha to 0.13 Ha</t>
  </si>
  <si>
    <t>Stormwater decreases from 0.36 ha to 0.35 Ha</t>
  </si>
  <si>
    <t>Stormwater increased from 1.20 Ha to 1.40 Ha</t>
  </si>
  <si>
    <t>Stormwater decreased from 0.07 Ha to 0.05 Ha</t>
  </si>
  <si>
    <t>Stormwater increased from 0.06 ha to 0.40 Ha</t>
  </si>
  <si>
    <t>Stormwater decreased from 0.06 ha to 0.00 Ha</t>
  </si>
  <si>
    <t>Stomwater decreased from 9.22 ha to 8.25 ha</t>
  </si>
  <si>
    <t>Stormwater decreased from 1.68 Ha to 0.00 Ha</t>
  </si>
  <si>
    <t>Proposed Changes
Stormwater</t>
  </si>
  <si>
    <t>]</t>
  </si>
  <si>
    <t>Stormwater increases from 1.8 Ha to 4.38 Ha</t>
  </si>
  <si>
    <t>Stormwater decreases from 0.27 Ha to 0.00 Ha</t>
  </si>
  <si>
    <t>Combine properties 35A and 35B 
(planned subdivision in 2010 did not proceed)
Increase non-government school to 9.51 Ha 
(section of land between Alfred Road and Bridge Road)</t>
  </si>
  <si>
    <t>Delete Non-Government School - 2.36 Ha to 0.00 Ha</t>
  </si>
  <si>
    <t>Delete Non-Government School - 0.17 Ha to 0.00 Ha</t>
  </si>
  <si>
    <t>Delete Non-Government School - 0.95 Ha to 0.00 Ha</t>
  </si>
  <si>
    <t>Identified Non-Government Schools</t>
  </si>
  <si>
    <t>* Passive Open Space Contribution is to be made via Clause 53.01</t>
  </si>
  <si>
    <r>
      <rPr>
        <b/>
        <sz val="9"/>
        <color theme="1"/>
        <rFont val="Calibri"/>
        <family val="2"/>
        <scheme val="minor"/>
      </rPr>
      <t>Paynes Road Level Crossing Upgrade</t>
    </r>
    <r>
      <rPr>
        <sz val="9"/>
        <color theme="1"/>
        <rFont val="Calibri"/>
        <family val="2"/>
        <scheme val="minor"/>
      </rPr>
      <t xml:space="preserve">
Construction of an upgrade to the level crossing at the intersection of Paynes Road and the Melbourne-Ballarat rail corridor, including automatic gates and pedestrian crossings (ultimate standard). 
Note: Paynes Road level crossing will be closed upon completion of the construction of the Paynes Road Overpass (BD17).</t>
    </r>
  </si>
  <si>
    <t>Schedule 3 to the DCPO</t>
  </si>
  <si>
    <t>Table 1</t>
  </si>
  <si>
    <t>Facility</t>
  </si>
  <si>
    <t>Time of provision</t>
  </si>
  <si>
    <t>Proportion of DIL cost attributable to total development %</t>
  </si>
  <si>
    <t>Roads</t>
  </si>
  <si>
    <t>Intersections</t>
  </si>
  <si>
    <t>Bridges</t>
  </si>
  <si>
    <t>Public Transport</t>
  </si>
  <si>
    <t>Unencumbered land for AOS</t>
  </si>
  <si>
    <t>Outdoor Active Recreation</t>
  </si>
  <si>
    <t>Shared Trails</t>
  </si>
  <si>
    <t>Structure Planning</t>
  </si>
  <si>
    <t>Summary of Contributions for Charge Area 1 $2021/2022</t>
  </si>
  <si>
    <t>DIL
All development</t>
  </si>
  <si>
    <t>CIL
Residential</t>
  </si>
  <si>
    <t>Summary of Contributions for Charge Area 2 $2021/2022</t>
  </si>
  <si>
    <t>Summary of Contributions for Charge Area 3 $2021/2022</t>
  </si>
  <si>
    <t>Summary of Contributions for Charge Area 4 $2021/2022</t>
  </si>
  <si>
    <t>As required</t>
  </si>
  <si>
    <t>Transport</t>
  </si>
  <si>
    <t>Community and Rec</t>
  </si>
  <si>
    <t>CIL</t>
  </si>
  <si>
    <t>Meeting rooms</t>
  </si>
  <si>
    <t>Pavilions</t>
  </si>
  <si>
    <t>Community Centre</t>
  </si>
  <si>
    <t>Hub 1</t>
  </si>
  <si>
    <t>Hub 2</t>
  </si>
  <si>
    <t>Hub 3</t>
  </si>
  <si>
    <t>Hub 4</t>
  </si>
  <si>
    <t>Hub 5</t>
  </si>
  <si>
    <t>Hub 6</t>
  </si>
  <si>
    <t>Arterial Roads and Bridges</t>
  </si>
  <si>
    <r>
      <rPr>
        <b/>
        <sz val="9"/>
        <color theme="1"/>
        <rFont val="Calibri"/>
        <family val="2"/>
        <scheme val="minor"/>
      </rPr>
      <t>Bridge Road Sports Reserve Pavilion</t>
    </r>
    <r>
      <rPr>
        <sz val="9"/>
        <color theme="1"/>
        <rFont val="Calibri"/>
        <family val="2"/>
        <scheme val="minor"/>
      </rPr>
      <t xml:space="preserve">
Construction of a pavilion in </t>
    </r>
    <r>
      <rPr>
        <b/>
        <sz val="9"/>
        <color theme="1"/>
        <rFont val="Calibri"/>
        <family val="2"/>
        <scheme val="minor"/>
      </rPr>
      <t>Community Hub 6</t>
    </r>
    <r>
      <rPr>
        <sz val="9"/>
        <color theme="1"/>
        <rFont val="Calibri"/>
        <family val="2"/>
        <scheme val="minor"/>
      </rPr>
      <t>, including all building works, landscaping, and related infrastructure</t>
    </r>
  </si>
  <si>
    <t xml:space="preserve">Ferris Road: Melbourne Ballarat Rail Line to Exford Road (IT05)
Offset cost estimate associated with removal of EVC for RD20. </t>
  </si>
  <si>
    <t xml:space="preserve">Ferris Road: Melbourne Ballarat Rail Line to Exford Road (IT05)
Offset cost estimate associated with removal of scattered trees for RD17. </t>
  </si>
  <si>
    <t xml:space="preserve">Land Acquisition Assessment, Charter Keck Cramer, May 2022 </t>
  </si>
  <si>
    <t>Land Values from Jayson
July 2021</t>
  </si>
  <si>
    <t>Partially constructed (Railway Line to Alfred Road)
Under construction (Alfred Road to Exford Road)</t>
  </si>
  <si>
    <t>Under Construction
Toolern Development Contributions Plan, VPA
Indexed to $2022</t>
  </si>
  <si>
    <t>Toolern Precinct Structure Plan Transport Modelling Report, Veitch Lister Consulting, September 2008; 
Toolern Precinct Structure Plan Transport and Movement Study, Booz &amp; Co, February 2008; and
Toolern Project Review, Cardno, 2022</t>
  </si>
  <si>
    <t xml:space="preserve">Toolern Growth Area Social Infrastructure Estimates, ASR Research (Jan 2009); and
Community and Recreation Project Review, ASR Research, 2021 </t>
  </si>
  <si>
    <t>Toolern Growth Area Social Infrastructure Estimates, ASR Research (Jan 2009); and 
Community and Recreation Project Review, ASR Research, 2021</t>
  </si>
  <si>
    <t xml:space="preserve">Exford Road: Exford Road (IT03) to Toolern Creek (BD03)
Offset cost estimate associated with removal of EVC for RD05. </t>
  </si>
  <si>
    <t xml:space="preserve">Exford Road: Toolern Creek (BD03) to Ferris Road (IT05)
Offset cost estimate associated with removal of scattered trees for RD06. </t>
  </si>
  <si>
    <t xml:space="preserve">Exford Road: Ferris Road (IT05) to Mount Cottrell Road (IT06) 
Offset cost estimate associated with removal of EVC for RD07. </t>
  </si>
  <si>
    <t xml:space="preserve">Exford Road: Mount Cottrell Road (IT06) to Paynes Road (IT07)
Offset cost estimate associated with removal of EVC for RD08. </t>
  </si>
  <si>
    <r>
      <rPr>
        <b/>
        <sz val="9"/>
        <color theme="1"/>
        <rFont val="Calibri"/>
        <family val="2"/>
        <scheme val="minor"/>
      </rPr>
      <t xml:space="preserve">Ferris Road Rail Overpass
</t>
    </r>
    <r>
      <rPr>
        <sz val="9"/>
        <color theme="1"/>
        <rFont val="Calibri"/>
        <family val="2"/>
        <scheme val="minor"/>
      </rPr>
      <t>Rail-road grade separation at the intersection of Ferris Road and the Melbourne-Ballarat rail corridor.</t>
    </r>
  </si>
  <si>
    <t>LAND
$21/22</t>
  </si>
  <si>
    <t>CONSTRUCTION
$21/22</t>
  </si>
  <si>
    <t>TOTAL
$21/22</t>
  </si>
  <si>
    <t>ESTIMATED LAND COST
$21/22</t>
  </si>
  <si>
    <t>TOTAL PROJECT COST
$21/22</t>
  </si>
  <si>
    <t>ESTIMATED CONSTRUCTION COST $21/22</t>
  </si>
  <si>
    <t>TOTAL COST ATTRIBUTED TO MCA $21/22</t>
  </si>
  <si>
    <t>AREA 1
$21/22</t>
  </si>
  <si>
    <t>AREA 2
$21/22</t>
  </si>
  <si>
    <t>AREA 3
$21/22</t>
  </si>
  <si>
    <t>AREA 4
$21/22</t>
  </si>
  <si>
    <t>TOTAL COST RECOVERED BY DCP
$21/22</t>
  </si>
  <si>
    <t>DEVELOPMENT INFRASTRUCTURE LEVY $21/22</t>
  </si>
  <si>
    <t>COMMUNITY INFRASTRUCTURE LEVY $21/22</t>
  </si>
  <si>
    <t>Total Cost $
$21/22</t>
  </si>
  <si>
    <t>Actual cost contribution to DIL $ 
$21/22</t>
  </si>
  <si>
    <t>$872.98 per dwelling</t>
  </si>
  <si>
    <t>Toolern PSP Road and Intersection Project Cost Sheets, 
Cardno, March 2022</t>
  </si>
  <si>
    <t>Toolern PSP Bridge Project Cost Sheets, Currie and Brown, 
November 2021</t>
  </si>
  <si>
    <t>Toolern PSP Review - Community Infrastructure Recommendations Report, ASR,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</si>
</sst>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&quot;$&quot;* #,##0.0000_-;\-&quot;$&quot;* #,##0.0000_-;_-&quot;$&quot;* &quot;-&quot;??_-;_-@_-"/>
    <numFmt numFmtId="166" formatCode="_-&quot;$&quot;* #,##0_-;\-&quot;$&quot;* #,##0_-;_-&quot;$&quot;* &quot;-&quot;??_-;_-@_-"/>
    <numFmt numFmtId="167" formatCode="0.000000000000000%"/>
    <numFmt numFmtId="168" formatCode="&quot;$&quot;#,##0.00"/>
    <numFmt numFmtId="169" formatCode="&quot;$&quot;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5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3">
    <xf numFmtId="0" fontId="0" fillId="0" borderId="0" xfId="0"/>
    <xf numFmtId="2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/>
    </xf>
    <xf numFmtId="0" fontId="4" fillId="12" borderId="1" xfId="0" applyFont="1" applyFill="1" applyBorder="1" applyAlignment="1">
      <alignment horizontal="center" vertical="top" wrapText="1"/>
    </xf>
    <xf numFmtId="0" fontId="4" fillId="13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6" fillId="7" borderId="1" xfId="0" applyFont="1" applyFill="1" applyBorder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4" fillId="13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6" fillId="7" borderId="0" xfId="0" applyFont="1" applyFill="1" applyAlignment="1">
      <alignment vertical="top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10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2" fontId="7" fillId="11" borderId="1" xfId="0" applyNumberFormat="1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0" fontId="8" fillId="0" borderId="0" xfId="0" applyFont="1"/>
    <xf numFmtId="2" fontId="5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4" fillId="5" borderId="1" xfId="2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8" fillId="9" borderId="1" xfId="0" applyNumberFormat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2" fontId="3" fillId="0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7" fillId="5" borderId="1" xfId="2" applyNumberFormat="1" applyFont="1" applyFill="1" applyBorder="1" applyAlignment="1">
      <alignment horizontal="center" vertical="center"/>
    </xf>
    <xf numFmtId="2" fontId="4" fillId="11" borderId="1" xfId="0" applyNumberFormat="1" applyFont="1" applyFill="1" applyBorder="1" applyAlignment="1">
      <alignment horizontal="center" vertical="center"/>
    </xf>
    <xf numFmtId="2" fontId="7" fillId="15" borderId="1" xfId="0" applyNumberFormat="1" applyFont="1" applyFill="1" applyBorder="1" applyAlignment="1">
      <alignment horizontal="center" vertical="center"/>
    </xf>
    <xf numFmtId="2" fontId="8" fillId="1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textRotation="90" wrapText="1"/>
    </xf>
    <xf numFmtId="2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9" borderId="0" xfId="0" applyFont="1" applyFill="1" applyAlignment="1">
      <alignment vertical="top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166" fontId="2" fillId="12" borderId="1" xfId="0" applyNumberFormat="1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/>
    </xf>
    <xf numFmtId="2" fontId="13" fillId="4" borderId="3" xfId="0" applyNumberFormat="1" applyFont="1" applyFill="1" applyBorder="1" applyAlignment="1">
      <alignment horizontal="center" vertical="center"/>
    </xf>
    <xf numFmtId="10" fontId="13" fillId="4" borderId="1" xfId="2" applyNumberFormat="1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center"/>
    </xf>
    <xf numFmtId="0" fontId="13" fillId="4" borderId="0" xfId="0" applyFont="1" applyFill="1"/>
    <xf numFmtId="0" fontId="11" fillId="0" borderId="1" xfId="0" applyFont="1" applyBorder="1" applyAlignment="1">
      <alignment horizontal="center" vertical="center" wrapText="1"/>
    </xf>
    <xf numFmtId="0" fontId="2" fillId="13" borderId="0" xfId="0" applyFont="1" applyFill="1" applyAlignment="1">
      <alignment wrapText="1"/>
    </xf>
    <xf numFmtId="0" fontId="2" fillId="13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1" fillId="9" borderId="1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top" wrapText="1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3" xfId="0" applyNumberFormat="1" applyFont="1" applyFill="1" applyBorder="1" applyAlignment="1">
      <alignment horizontal="center" vertical="top"/>
    </xf>
    <xf numFmtId="10" fontId="13" fillId="4" borderId="1" xfId="2" applyNumberFormat="1" applyFont="1" applyFill="1" applyBorder="1" applyAlignment="1">
      <alignment horizontal="center" vertical="top"/>
    </xf>
    <xf numFmtId="0" fontId="13" fillId="4" borderId="0" xfId="0" applyFont="1" applyFill="1" applyAlignment="1">
      <alignment vertical="top"/>
    </xf>
    <xf numFmtId="0" fontId="2" fillId="13" borderId="0" xfId="0" applyFont="1" applyFill="1" applyAlignment="1">
      <alignment vertical="top" wrapText="1"/>
    </xf>
    <xf numFmtId="0" fontId="15" fillId="7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 wrapText="1"/>
    </xf>
    <xf numFmtId="2" fontId="13" fillId="4" borderId="3" xfId="0" applyNumberFormat="1" applyFont="1" applyFill="1" applyBorder="1" applyAlignment="1">
      <alignment horizontal="center" vertical="center" wrapText="1"/>
    </xf>
    <xf numFmtId="10" fontId="13" fillId="4" borderId="1" xfId="2" applyNumberFormat="1" applyFont="1" applyFill="1" applyBorder="1" applyAlignment="1">
      <alignment horizontal="center" wrapText="1"/>
    </xf>
    <xf numFmtId="2" fontId="13" fillId="4" borderId="1" xfId="0" applyNumberFormat="1" applyFont="1" applyFill="1" applyBorder="1" applyAlignment="1">
      <alignment horizontal="center" wrapText="1"/>
    </xf>
    <xf numFmtId="0" fontId="13" fillId="4" borderId="0" xfId="0" applyFont="1" applyFill="1" applyAlignment="1">
      <alignment wrapText="1"/>
    </xf>
    <xf numFmtId="44" fontId="13" fillId="4" borderId="1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10" fontId="4" fillId="5" borderId="1" xfId="0" applyNumberFormat="1" applyFont="1" applyFill="1" applyBorder="1" applyAlignment="1">
      <alignment horizontal="center" vertical="center"/>
    </xf>
    <xf numFmtId="2" fontId="4" fillId="1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4" fontId="3" fillId="16" borderId="1" xfId="0" applyNumberFormat="1" applyFont="1" applyFill="1" applyBorder="1" applyAlignment="1">
      <alignment horizontal="center" vertical="center"/>
    </xf>
    <xf numFmtId="10" fontId="3" fillId="16" borderId="1" xfId="2" applyNumberFormat="1" applyFont="1" applyFill="1" applyBorder="1" applyAlignment="1">
      <alignment horizontal="center" vertical="center"/>
    </xf>
    <xf numFmtId="10" fontId="4" fillId="5" borderId="1" xfId="2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10" fontId="4" fillId="0" borderId="0" xfId="2" applyNumberFormat="1" applyFont="1" applyFill="1" applyAlignment="1">
      <alignment horizontal="center" vertical="center"/>
    </xf>
    <xf numFmtId="10" fontId="3" fillId="8" borderId="1" xfId="2" applyNumberFormat="1" applyFont="1" applyFill="1" applyBorder="1" applyAlignment="1">
      <alignment horizontal="center" vertical="center"/>
    </xf>
    <xf numFmtId="10" fontId="4" fillId="8" borderId="1" xfId="2" applyNumberFormat="1" applyFont="1" applyFill="1" applyBorder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2" fontId="5" fillId="6" borderId="0" xfId="0" applyNumberFormat="1" applyFont="1" applyFill="1" applyAlignment="1">
      <alignment horizontal="center" vertical="center"/>
    </xf>
    <xf numFmtId="10" fontId="3" fillId="0" borderId="0" xfId="2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0" fontId="5" fillId="6" borderId="0" xfId="2" applyNumberFormat="1" applyFont="1" applyFill="1" applyAlignment="1">
      <alignment horizontal="center" vertical="center"/>
    </xf>
    <xf numFmtId="165" fontId="5" fillId="6" borderId="0" xfId="1" applyNumberFormat="1" applyFont="1" applyFill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10" fontId="3" fillId="9" borderId="1" xfId="2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64" fontId="4" fillId="5" borderId="1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10" fontId="5" fillId="4" borderId="0" xfId="2" applyNumberFormat="1" applyFont="1" applyFill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7" fillId="7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2" fontId="7" fillId="7" borderId="1" xfId="0" applyNumberFormat="1" applyFont="1" applyFill="1" applyBorder="1" applyAlignment="1">
      <alignment horizontal="center" vertical="center"/>
    </xf>
    <xf numFmtId="10" fontId="7" fillId="7" borderId="1" xfId="2" applyNumberFormat="1" applyFont="1" applyFill="1" applyBorder="1" applyAlignment="1">
      <alignment horizontal="center" vertical="center"/>
    </xf>
    <xf numFmtId="164" fontId="7" fillId="7" borderId="1" xfId="2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2" fontId="7" fillId="16" borderId="1" xfId="0" applyNumberFormat="1" applyFont="1" applyFill="1" applyBorder="1" applyAlignment="1">
      <alignment horizontal="center" vertical="center"/>
    </xf>
    <xf numFmtId="164" fontId="7" fillId="8" borderId="1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2" fontId="3" fillId="8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10" fontId="3" fillId="10" borderId="1" xfId="2" applyNumberFormat="1" applyFont="1" applyFill="1" applyBorder="1" applyAlignment="1">
      <alignment horizontal="center" vertical="center"/>
    </xf>
    <xf numFmtId="0" fontId="3" fillId="10" borderId="0" xfId="0" applyFont="1" applyFill="1" applyAlignment="1">
      <alignment vertical="center"/>
    </xf>
    <xf numFmtId="10" fontId="7" fillId="5" borderId="1" xfId="2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vertical="center"/>
    </xf>
    <xf numFmtId="10" fontId="7" fillId="11" borderId="1" xfId="2" applyNumberFormat="1" applyFont="1" applyFill="1" applyBorder="1" applyAlignment="1">
      <alignment horizontal="center" vertical="center"/>
    </xf>
    <xf numFmtId="10" fontId="10" fillId="11" borderId="1" xfId="2" applyNumberFormat="1" applyFont="1" applyFill="1" applyBorder="1" applyAlignment="1">
      <alignment horizontal="center" vertical="center"/>
    </xf>
    <xf numFmtId="2" fontId="10" fillId="11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0" fontId="5" fillId="0" borderId="0" xfId="2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0" fontId="8" fillId="0" borderId="0" xfId="2" applyNumberFormat="1" applyFont="1" applyFill="1" applyAlignment="1">
      <alignment horizontal="center" vertical="center"/>
    </xf>
    <xf numFmtId="10" fontId="8" fillId="0" borderId="0" xfId="2" applyNumberFormat="1" applyFont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0" fontId="5" fillId="4" borderId="1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0" fontId="8" fillId="0" borderId="1" xfId="2" applyNumberFormat="1" applyFont="1" applyFill="1" applyBorder="1" applyAlignment="1">
      <alignment horizontal="center" vertical="center"/>
    </xf>
    <xf numFmtId="10" fontId="3" fillId="0" borderId="0" xfId="2" applyNumberFormat="1" applyFont="1" applyFill="1" applyAlignment="1">
      <alignment vertical="center"/>
    </xf>
    <xf numFmtId="0" fontId="8" fillId="10" borderId="1" xfId="0" applyFont="1" applyFill="1" applyBorder="1" applyAlignment="1">
      <alignment vertical="center"/>
    </xf>
    <xf numFmtId="10" fontId="8" fillId="10" borderId="1" xfId="2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0" fontId="8" fillId="9" borderId="1" xfId="2" applyNumberFormat="1" applyFont="1" applyFill="1" applyBorder="1" applyAlignment="1">
      <alignment horizontal="center" vertical="center"/>
    </xf>
    <xf numFmtId="10" fontId="3" fillId="10" borderId="1" xfId="0" applyNumberFormat="1" applyFont="1" applyFill="1" applyBorder="1" applyAlignment="1">
      <alignment horizontal="center" vertical="center"/>
    </xf>
    <xf numFmtId="10" fontId="3" fillId="9" borderId="1" xfId="0" applyNumberFormat="1" applyFont="1" applyFill="1" applyBorder="1" applyAlignment="1">
      <alignment horizontal="center" vertical="center"/>
    </xf>
    <xf numFmtId="10" fontId="3" fillId="5" borderId="1" xfId="2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10" fontId="4" fillId="11" borderId="1" xfId="2" applyNumberFormat="1" applyFont="1" applyFill="1" applyBorder="1" applyAlignment="1">
      <alignment horizontal="center" vertical="center"/>
    </xf>
    <xf numFmtId="10" fontId="5" fillId="11" borderId="1" xfId="2" applyNumberFormat="1" applyFont="1" applyFill="1" applyBorder="1" applyAlignment="1">
      <alignment horizontal="center" vertical="center"/>
    </xf>
    <xf numFmtId="2" fontId="5" fillId="11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0" fontId="8" fillId="0" borderId="1" xfId="2" applyNumberFormat="1" applyFont="1" applyBorder="1" applyAlignment="1">
      <alignment horizontal="center" vertical="center"/>
    </xf>
    <xf numFmtId="10" fontId="9" fillId="9" borderId="1" xfId="2" applyNumberFormat="1" applyFont="1" applyFill="1" applyBorder="1" applyAlignment="1">
      <alignment horizontal="center" vertical="center"/>
    </xf>
    <xf numFmtId="2" fontId="9" fillId="9" borderId="1" xfId="0" applyNumberFormat="1" applyFont="1" applyFill="1" applyBorder="1" applyAlignment="1">
      <alignment horizontal="center" vertical="center"/>
    </xf>
    <xf numFmtId="10" fontId="9" fillId="10" borderId="1" xfId="2" applyNumberFormat="1" applyFont="1" applyFill="1" applyBorder="1" applyAlignment="1">
      <alignment horizontal="center" vertical="center"/>
    </xf>
    <xf numFmtId="2" fontId="9" fillId="10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vertical="center"/>
    </xf>
    <xf numFmtId="10" fontId="4" fillId="15" borderId="1" xfId="2" applyNumberFormat="1" applyFont="1" applyFill="1" applyBorder="1" applyAlignment="1">
      <alignment horizontal="center" vertical="center"/>
    </xf>
    <xf numFmtId="2" fontId="13" fillId="4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17" borderId="0" xfId="0" applyFont="1" applyFill="1" applyAlignment="1">
      <alignment vertical="top"/>
    </xf>
    <xf numFmtId="0" fontId="2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10" fontId="7" fillId="15" borderId="1" xfId="2" applyNumberFormat="1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11" fillId="18" borderId="0" xfId="0" applyFont="1" applyFill="1" applyAlignment="1">
      <alignment wrapText="1"/>
    </xf>
    <xf numFmtId="0" fontId="11" fillId="18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11" fillId="18" borderId="1" xfId="0" applyFont="1" applyFill="1" applyBorder="1" applyAlignment="1">
      <alignment vertical="center" wrapText="1"/>
    </xf>
    <xf numFmtId="0" fontId="11" fillId="18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13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44" fontId="11" fillId="0" borderId="0" xfId="0" applyNumberFormat="1" applyFont="1" applyFill="1" applyAlignment="1">
      <alignment vertical="top" wrapText="1"/>
    </xf>
    <xf numFmtId="0" fontId="11" fillId="17" borderId="0" xfId="0" applyFont="1" applyFill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44" fontId="4" fillId="12" borderId="1" xfId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18" fillId="18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6" fontId="11" fillId="8" borderId="1" xfId="0" applyNumberFormat="1" applyFont="1" applyFill="1" applyBorder="1" applyAlignment="1">
      <alignment horizontal="center" vertical="center" wrapText="1"/>
    </xf>
    <xf numFmtId="168" fontId="2" fillId="8" borderId="1" xfId="1" applyNumberFormat="1" applyFont="1" applyFill="1" applyBorder="1" applyAlignment="1">
      <alignment horizontal="center" vertical="center" wrapText="1"/>
    </xf>
    <xf numFmtId="169" fontId="2" fillId="8" borderId="1" xfId="1" applyNumberFormat="1" applyFont="1" applyFill="1" applyBorder="1" applyAlignment="1">
      <alignment horizontal="center" vertical="center" wrapText="1"/>
    </xf>
    <xf numFmtId="2" fontId="13" fillId="4" borderId="6" xfId="0" applyNumberFormat="1" applyFont="1" applyFill="1" applyBorder="1" applyAlignment="1">
      <alignment horizontal="center" vertical="center" wrapText="1"/>
    </xf>
    <xf numFmtId="168" fontId="11" fillId="0" borderId="1" xfId="0" applyNumberFormat="1" applyFont="1" applyFill="1" applyBorder="1" applyAlignment="1">
      <alignment horizontal="center" vertical="center" wrapText="1"/>
    </xf>
    <xf numFmtId="168" fontId="11" fillId="0" borderId="1" xfId="0" applyNumberFormat="1" applyFont="1" applyBorder="1" applyAlignment="1">
      <alignment horizontal="center" vertical="center" wrapText="1"/>
    </xf>
    <xf numFmtId="168" fontId="13" fillId="4" borderId="1" xfId="0" applyNumberFormat="1" applyFont="1" applyFill="1" applyBorder="1" applyAlignment="1">
      <alignment horizontal="center" vertical="center" wrapText="1"/>
    </xf>
    <xf numFmtId="168" fontId="2" fillId="13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68" fontId="14" fillId="7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6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22" fillId="0" borderId="0" xfId="0" applyFont="1" applyAlignment="1">
      <alignment horizontal="center" vertical="center"/>
    </xf>
    <xf numFmtId="168" fontId="22" fillId="0" borderId="0" xfId="1" applyNumberFormat="1" applyFont="1" applyAlignment="1">
      <alignment horizontal="center" vertical="center"/>
    </xf>
    <xf numFmtId="168" fontId="22" fillId="0" borderId="0" xfId="0" applyNumberFormat="1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6" fontId="22" fillId="0" borderId="0" xfId="0" applyNumberFormat="1" applyFont="1" applyAlignment="1">
      <alignment horizontal="center" vertical="center"/>
    </xf>
    <xf numFmtId="168" fontId="21" fillId="0" borderId="1" xfId="0" applyNumberFormat="1" applyFont="1" applyBorder="1" applyAlignment="1">
      <alignment horizontal="center" vertical="center"/>
    </xf>
    <xf numFmtId="2" fontId="8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/>
    <xf numFmtId="0" fontId="25" fillId="0" borderId="0" xfId="0" applyFont="1"/>
    <xf numFmtId="0" fontId="0" fillId="0" borderId="1" xfId="0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/>
    <xf numFmtId="44" fontId="25" fillId="0" borderId="1" xfId="1" applyFont="1" applyBorder="1"/>
    <xf numFmtId="44" fontId="0" fillId="0" borderId="1" xfId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0" xfId="0" applyNumberFormat="1"/>
    <xf numFmtId="0" fontId="25" fillId="0" borderId="1" xfId="0" applyFont="1" applyBorder="1" applyAlignment="1">
      <alignment horizontal="center"/>
    </xf>
    <xf numFmtId="9" fontId="0" fillId="0" borderId="0" xfId="0" applyNumberFormat="1"/>
    <xf numFmtId="44" fontId="0" fillId="0" borderId="0" xfId="1" applyFont="1"/>
    <xf numFmtId="10" fontId="8" fillId="11" borderId="1" xfId="2" applyNumberFormat="1" applyFont="1" applyFill="1" applyBorder="1" applyAlignment="1">
      <alignment horizontal="center" vertical="center"/>
    </xf>
    <xf numFmtId="166" fontId="0" fillId="0" borderId="1" xfId="1" applyNumberFormat="1" applyFont="1" applyBorder="1"/>
    <xf numFmtId="166" fontId="25" fillId="0" borderId="1" xfId="1" applyNumberFormat="1" applyFont="1" applyBorder="1"/>
    <xf numFmtId="166" fontId="0" fillId="0" borderId="1" xfId="0" applyNumberForma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 vertical="center"/>
    </xf>
    <xf numFmtId="166" fontId="25" fillId="0" borderId="1" xfId="1" applyNumberFormat="1" applyFont="1" applyBorder="1" applyAlignment="1">
      <alignment horizontal="center"/>
    </xf>
    <xf numFmtId="6" fontId="0" fillId="0" borderId="0" xfId="0" applyNumberFormat="1"/>
    <xf numFmtId="6" fontId="26" fillId="0" borderId="0" xfId="0" applyNumberFormat="1" applyFont="1" applyBorder="1" applyAlignment="1">
      <alignment horizontal="center" vertical="center" wrapText="1"/>
    </xf>
    <xf numFmtId="6" fontId="11" fillId="0" borderId="0" xfId="0" applyNumberFormat="1" applyFont="1" applyBorder="1" applyAlignment="1">
      <alignment horizontal="center" vertical="center" wrapText="1"/>
    </xf>
    <xf numFmtId="6" fontId="0" fillId="0" borderId="0" xfId="0" applyNumberFormat="1" applyBorder="1"/>
    <xf numFmtId="0" fontId="0" fillId="0" borderId="0" xfId="0" applyBorder="1"/>
    <xf numFmtId="166" fontId="28" fillId="12" borderId="1" xfId="0" applyNumberFormat="1" applyFont="1" applyFill="1" applyBorder="1" applyAlignment="1">
      <alignment horizontal="center" vertical="center" wrapText="1"/>
    </xf>
    <xf numFmtId="166" fontId="28" fillId="4" borderId="1" xfId="0" applyNumberFormat="1" applyFont="1" applyFill="1" applyBorder="1" applyAlignment="1">
      <alignment horizontal="center" vertical="center" wrapText="1"/>
    </xf>
    <xf numFmtId="166" fontId="28" fillId="4" borderId="1" xfId="1" applyNumberFormat="1" applyFont="1" applyFill="1" applyBorder="1" applyAlignment="1">
      <alignment horizontal="center" vertical="center" wrapText="1"/>
    </xf>
    <xf numFmtId="9" fontId="28" fillId="4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27" fillId="0" borderId="0" xfId="0" applyFont="1" applyFill="1" applyAlignment="1">
      <alignment vertical="top" wrapText="1"/>
    </xf>
    <xf numFmtId="0" fontId="8" fillId="0" borderId="1" xfId="0" applyFont="1" applyFill="1" applyBorder="1" applyAlignment="1">
      <alignment horizontal="center" vertical="top"/>
    </xf>
    <xf numFmtId="0" fontId="27" fillId="0" borderId="0" xfId="0" applyFont="1" applyFill="1" applyAlignment="1">
      <alignment vertical="top"/>
    </xf>
    <xf numFmtId="44" fontId="27" fillId="0" borderId="0" xfId="1" applyFont="1" applyFill="1" applyAlignment="1">
      <alignment vertical="top" wrapText="1"/>
    </xf>
    <xf numFmtId="0" fontId="8" fillId="0" borderId="0" xfId="0" applyFont="1" applyFill="1" applyAlignment="1">
      <alignment vertical="top"/>
    </xf>
    <xf numFmtId="0" fontId="18" fillId="0" borderId="1" xfId="0" applyFont="1" applyFill="1" applyBorder="1" applyAlignment="1">
      <alignment horizontal="center" vertical="center" wrapText="1"/>
    </xf>
    <xf numFmtId="8" fontId="11" fillId="0" borderId="1" xfId="0" applyNumberFormat="1" applyFont="1" applyFill="1" applyBorder="1" applyAlignment="1">
      <alignment horizontal="center" vertical="center" wrapText="1"/>
    </xf>
    <xf numFmtId="6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168" fontId="27" fillId="0" borderId="1" xfId="0" applyNumberFormat="1" applyFont="1" applyFill="1" applyBorder="1" applyAlignment="1">
      <alignment horizontal="center" vertical="center" wrapText="1"/>
    </xf>
    <xf numFmtId="43" fontId="3" fillId="0" borderId="0" xfId="3" applyFont="1" applyAlignment="1">
      <alignment vertical="center" wrapText="1"/>
    </xf>
    <xf numFmtId="10" fontId="3" fillId="0" borderId="0" xfId="2" applyNumberFormat="1" applyFont="1" applyAlignment="1">
      <alignment vertical="center" wrapText="1"/>
    </xf>
    <xf numFmtId="44" fontId="3" fillId="0" borderId="0" xfId="1" applyFont="1" applyAlignment="1">
      <alignment horizontal="center" vertical="center" wrapText="1"/>
    </xf>
    <xf numFmtId="43" fontId="4" fillId="12" borderId="1" xfId="3" applyFont="1" applyFill="1" applyBorder="1" applyAlignment="1">
      <alignment horizontal="center" vertical="center" wrapText="1"/>
    </xf>
    <xf numFmtId="10" fontId="4" fillId="12" borderId="1" xfId="2" applyNumberFormat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43" fontId="5" fillId="4" borderId="1" xfId="3" applyFont="1" applyFill="1" applyBorder="1" applyAlignment="1">
      <alignment horizontal="right" vertical="center"/>
    </xf>
    <xf numFmtId="10" fontId="5" fillId="4" borderId="1" xfId="2" applyNumberFormat="1" applyFont="1" applyFill="1" applyBorder="1" applyAlignment="1">
      <alignment horizontal="right" vertical="center"/>
    </xf>
    <xf numFmtId="43" fontId="5" fillId="4" borderId="1" xfId="3" applyFont="1" applyFill="1" applyBorder="1" applyAlignment="1">
      <alignment horizontal="center" vertical="center"/>
    </xf>
    <xf numFmtId="44" fontId="5" fillId="4" borderId="1" xfId="1" applyFont="1" applyFill="1" applyBorder="1" applyAlignment="1">
      <alignment horizontal="center" vertical="center"/>
    </xf>
    <xf numFmtId="43" fontId="8" fillId="0" borderId="1" xfId="3" applyFont="1" applyFill="1" applyBorder="1" applyAlignment="1">
      <alignment vertical="center" wrapText="1"/>
    </xf>
    <xf numFmtId="10" fontId="8" fillId="0" borderId="1" xfId="2" applyNumberFormat="1" applyFont="1" applyFill="1" applyBorder="1" applyAlignment="1">
      <alignment vertical="center" wrapText="1"/>
    </xf>
    <xf numFmtId="44" fontId="8" fillId="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4" fillId="13" borderId="1" xfId="3" applyFont="1" applyFill="1" applyBorder="1" applyAlignment="1">
      <alignment vertical="center" wrapText="1"/>
    </xf>
    <xf numFmtId="10" fontId="4" fillId="13" borderId="1" xfId="2" applyNumberFormat="1" applyFont="1" applyFill="1" applyBorder="1" applyAlignment="1">
      <alignment vertical="center" wrapText="1"/>
    </xf>
    <xf numFmtId="44" fontId="4" fillId="13" borderId="1" xfId="1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43" fontId="8" fillId="0" borderId="1" xfId="3" applyFont="1" applyFill="1" applyBorder="1" applyAlignment="1">
      <alignment vertical="center"/>
    </xf>
    <xf numFmtId="10" fontId="8" fillId="0" borderId="1" xfId="2" applyNumberFormat="1" applyFont="1" applyFill="1" applyBorder="1" applyAlignment="1">
      <alignment vertical="center"/>
    </xf>
    <xf numFmtId="44" fontId="8" fillId="0" borderId="1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3" fontId="3" fillId="0" borderId="1" xfId="3" applyFont="1" applyFill="1" applyBorder="1" applyAlignment="1">
      <alignment vertical="center"/>
    </xf>
    <xf numFmtId="10" fontId="3" fillId="0" borderId="1" xfId="2" applyNumberFormat="1" applyFont="1" applyFill="1" applyBorder="1" applyAlignment="1">
      <alignment vertical="center"/>
    </xf>
    <xf numFmtId="44" fontId="3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4" fontId="8" fillId="0" borderId="0" xfId="0" applyNumberFormat="1" applyFont="1" applyFill="1" applyBorder="1" applyAlignment="1">
      <alignment vertical="center" wrapText="1"/>
    </xf>
    <xf numFmtId="44" fontId="8" fillId="0" borderId="1" xfId="0" applyNumberFormat="1" applyFont="1" applyFill="1" applyBorder="1" applyAlignment="1">
      <alignment horizontal="center" vertical="center" wrapText="1"/>
    </xf>
    <xf numFmtId="43" fontId="3" fillId="0" borderId="1" xfId="3" applyFont="1" applyFill="1" applyBorder="1" applyAlignment="1">
      <alignment horizontal="center" vertical="center"/>
    </xf>
    <xf numFmtId="43" fontId="8" fillId="0" borderId="1" xfId="3" applyFont="1" applyFill="1" applyBorder="1" applyAlignment="1">
      <alignment horizontal="center" vertical="center"/>
    </xf>
    <xf numFmtId="43" fontId="4" fillId="13" borderId="1" xfId="3" applyFont="1" applyFill="1" applyBorder="1" applyAlignment="1">
      <alignment horizontal="center" vertical="center" wrapText="1"/>
    </xf>
    <xf numFmtId="43" fontId="6" fillId="7" borderId="1" xfId="3" applyFont="1" applyFill="1" applyBorder="1" applyAlignment="1">
      <alignment vertical="center" wrapText="1"/>
    </xf>
    <xf numFmtId="10" fontId="6" fillId="7" borderId="1" xfId="2" applyNumberFormat="1" applyFont="1" applyFill="1" applyBorder="1" applyAlignment="1">
      <alignment vertical="center" wrapText="1"/>
    </xf>
    <xf numFmtId="44" fontId="17" fillId="7" borderId="1" xfId="1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44" fontId="3" fillId="0" borderId="0" xfId="1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4" fillId="13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6" fontId="27" fillId="0" borderId="0" xfId="0" applyNumberFormat="1" applyFont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166" fontId="27" fillId="0" borderId="1" xfId="1" applyNumberFormat="1" applyFont="1" applyFill="1" applyBorder="1" applyAlignment="1">
      <alignment horizontal="center" vertical="center" wrapText="1"/>
    </xf>
    <xf numFmtId="9" fontId="27" fillId="0" borderId="1" xfId="2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2" fillId="13" borderId="0" xfId="0" applyFont="1" applyFill="1" applyAlignment="1">
      <alignment vertical="center" wrapText="1"/>
    </xf>
    <xf numFmtId="166" fontId="28" fillId="13" borderId="1" xfId="1" applyNumberFormat="1" applyFont="1" applyFill="1" applyBorder="1" applyAlignment="1">
      <alignment horizontal="center" vertical="center" wrapText="1"/>
    </xf>
    <xf numFmtId="9" fontId="28" fillId="13" borderId="0" xfId="2" applyFont="1" applyFill="1" applyBorder="1" applyAlignment="1">
      <alignment horizontal="center" vertical="center" wrapText="1"/>
    </xf>
    <xf numFmtId="166" fontId="2" fillId="13" borderId="1" xfId="1" applyNumberFormat="1" applyFont="1" applyFill="1" applyBorder="1" applyAlignment="1">
      <alignment horizontal="center" vertical="center" wrapText="1"/>
    </xf>
    <xf numFmtId="166" fontId="28" fillId="13" borderId="5" xfId="1" applyNumberFormat="1" applyFont="1" applyFill="1" applyBorder="1" applyAlignment="1">
      <alignment horizontal="center" vertical="center" wrapText="1"/>
    </xf>
    <xf numFmtId="166" fontId="28" fillId="13" borderId="0" xfId="1" applyNumberFormat="1" applyFont="1" applyFill="1" applyBorder="1" applyAlignment="1">
      <alignment horizontal="center" vertical="center" wrapText="1"/>
    </xf>
    <xf numFmtId="166" fontId="2" fillId="13" borderId="5" xfId="1" applyNumberFormat="1" applyFont="1" applyFill="1" applyBorder="1" applyAlignment="1">
      <alignment horizontal="center" vertical="center" wrapText="1"/>
    </xf>
    <xf numFmtId="44" fontId="2" fillId="13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 vertical="center" wrapText="1"/>
    </xf>
    <xf numFmtId="0" fontId="2" fillId="13" borderId="1" xfId="0" applyFont="1" applyFill="1" applyBorder="1" applyAlignment="1">
      <alignment vertical="center" wrapText="1"/>
    </xf>
    <xf numFmtId="9" fontId="28" fillId="13" borderId="1" xfId="2" applyFont="1" applyFill="1" applyBorder="1" applyAlignment="1">
      <alignment horizontal="center" vertical="center" wrapText="1"/>
    </xf>
    <xf numFmtId="44" fontId="2" fillId="13" borderId="1" xfId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6" fontId="28" fillId="13" borderId="2" xfId="1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4" fontId="11" fillId="0" borderId="1" xfId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44" fontId="27" fillId="0" borderId="1" xfId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44" fontId="2" fillId="13" borderId="0" xfId="1" applyFont="1" applyFill="1" applyAlignment="1">
      <alignment vertical="center" wrapText="1"/>
    </xf>
    <xf numFmtId="44" fontId="27" fillId="0" borderId="1" xfId="1" applyFont="1" applyFill="1" applyBorder="1" applyAlignment="1">
      <alignment vertical="center" wrapText="1"/>
    </xf>
    <xf numFmtId="0" fontId="14" fillId="7" borderId="0" xfId="0" applyFont="1" applyFill="1" applyAlignment="1">
      <alignment vertical="center" wrapText="1"/>
    </xf>
    <xf numFmtId="166" fontId="28" fillId="7" borderId="1" xfId="1" applyNumberFormat="1" applyFont="1" applyFill="1" applyBorder="1" applyAlignment="1">
      <alignment horizontal="center" vertical="center" wrapText="1"/>
    </xf>
    <xf numFmtId="9" fontId="28" fillId="7" borderId="0" xfId="2" applyFont="1" applyFill="1" applyBorder="1" applyAlignment="1">
      <alignment horizontal="center" vertical="center" wrapText="1"/>
    </xf>
    <xf numFmtId="44" fontId="14" fillId="7" borderId="0" xfId="1" applyFont="1" applyFill="1" applyAlignment="1">
      <alignment vertical="center" wrapText="1"/>
    </xf>
    <xf numFmtId="9" fontId="27" fillId="0" borderId="0" xfId="2" applyFont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166" fontId="27" fillId="0" borderId="0" xfId="0" applyNumberFormat="1" applyFont="1" applyFill="1" applyAlignment="1">
      <alignment horizontal="center" vertical="center" wrapText="1"/>
    </xf>
    <xf numFmtId="44" fontId="11" fillId="0" borderId="0" xfId="0" applyNumberFormat="1" applyFont="1" applyAlignment="1">
      <alignment vertical="center" wrapText="1"/>
    </xf>
    <xf numFmtId="10" fontId="11" fillId="0" borderId="0" xfId="2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166" fontId="11" fillId="0" borderId="0" xfId="0" applyNumberFormat="1" applyFont="1" applyAlignment="1">
      <alignment horizontal="center" vertical="center" wrapText="1"/>
    </xf>
    <xf numFmtId="0" fontId="13" fillId="4" borderId="1" xfId="0" applyFont="1" applyFill="1" applyBorder="1" applyAlignment="1">
      <alignment vertical="center"/>
    </xf>
    <xf numFmtId="166" fontId="11" fillId="0" borderId="1" xfId="1" applyNumberFormat="1" applyFont="1" applyFill="1" applyBorder="1" applyAlignment="1">
      <alignment vertical="center" wrapText="1"/>
    </xf>
    <xf numFmtId="166" fontId="11" fillId="0" borderId="5" xfId="1" applyNumberFormat="1" applyFont="1" applyFill="1" applyBorder="1" applyAlignment="1">
      <alignment vertical="center" wrapText="1"/>
    </xf>
    <xf numFmtId="166" fontId="11" fillId="18" borderId="1" xfId="1" applyNumberFormat="1" applyFont="1" applyFill="1" applyBorder="1" applyAlignment="1">
      <alignment vertical="center"/>
    </xf>
    <xf numFmtId="0" fontId="11" fillId="18" borderId="0" xfId="0" applyFont="1" applyFill="1" applyAlignment="1">
      <alignment vertical="center" wrapText="1"/>
    </xf>
    <xf numFmtId="166" fontId="11" fillId="0" borderId="1" xfId="1" applyNumberFormat="1" applyFont="1" applyFill="1" applyBorder="1" applyAlignment="1">
      <alignment vertical="center"/>
    </xf>
    <xf numFmtId="166" fontId="11" fillId="0" borderId="5" xfId="1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6" fontId="2" fillId="13" borderId="2" xfId="1" applyNumberFormat="1" applyFont="1" applyFill="1" applyBorder="1" applyAlignment="1">
      <alignment horizontal="center" vertical="center" wrapText="1"/>
    </xf>
    <xf numFmtId="166" fontId="2" fillId="7" borderId="1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3" fontId="4" fillId="0" borderId="0" xfId="3" applyFont="1" applyAlignment="1">
      <alignment vertical="center"/>
    </xf>
    <xf numFmtId="43" fontId="4" fillId="0" borderId="0" xfId="3" applyFont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43" fontId="6" fillId="4" borderId="1" xfId="3" applyFont="1" applyFill="1" applyBorder="1" applyAlignment="1">
      <alignment vertical="center" wrapText="1"/>
    </xf>
    <xf numFmtId="43" fontId="6" fillId="4" borderId="1" xfId="3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vertical="center"/>
    </xf>
    <xf numFmtId="43" fontId="4" fillId="13" borderId="1" xfId="3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43" fontId="6" fillId="4" borderId="1" xfId="3" applyFont="1" applyFill="1" applyBorder="1" applyAlignment="1">
      <alignment vertical="center"/>
    </xf>
    <xf numFmtId="43" fontId="6" fillId="4" borderId="1" xfId="3" applyFont="1" applyFill="1" applyBorder="1" applyAlignment="1">
      <alignment horizontal="center" vertical="center"/>
    </xf>
    <xf numFmtId="43" fontId="3" fillId="0" borderId="1" xfId="3" applyFont="1" applyBorder="1" applyAlignment="1">
      <alignment vertical="center"/>
    </xf>
    <xf numFmtId="43" fontId="3" fillId="0" borderId="1" xfId="3" applyFont="1" applyBorder="1" applyAlignment="1">
      <alignment horizontal="center" vertical="center"/>
    </xf>
    <xf numFmtId="0" fontId="3" fillId="9" borderId="1" xfId="0" applyFont="1" applyFill="1" applyBorder="1" applyAlignment="1">
      <alignment vertical="center" wrapText="1"/>
    </xf>
    <xf numFmtId="43" fontId="3" fillId="9" borderId="1" xfId="3" applyFont="1" applyFill="1" applyBorder="1" applyAlignment="1">
      <alignment vertical="center"/>
    </xf>
    <xf numFmtId="43" fontId="3" fillId="9" borderId="1" xfId="3" applyFont="1" applyFill="1" applyBorder="1" applyAlignment="1">
      <alignment horizontal="center" vertical="center"/>
    </xf>
    <xf numFmtId="4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/>
    </xf>
    <xf numFmtId="43" fontId="6" fillId="7" borderId="1" xfId="3" applyFont="1" applyFill="1" applyBorder="1" applyAlignment="1">
      <alignment vertical="center"/>
    </xf>
    <xf numFmtId="0" fontId="6" fillId="7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43" fontId="3" fillId="0" borderId="0" xfId="3" applyFont="1" applyAlignment="1">
      <alignment vertical="center"/>
    </xf>
    <xf numFmtId="43" fontId="3" fillId="0" borderId="0" xfId="3" applyFont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vertical="center" wrapText="1"/>
    </xf>
    <xf numFmtId="0" fontId="13" fillId="17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17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2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2" fontId="13" fillId="0" borderId="4" xfId="0" applyNumberFormat="1" applyFont="1" applyFill="1" applyBorder="1" applyAlignment="1">
      <alignment horizontal="center" vertical="center" wrapText="1"/>
    </xf>
    <xf numFmtId="2" fontId="13" fillId="0" borderId="6" xfId="0" applyNumberFormat="1" applyFont="1" applyFill="1" applyBorder="1" applyAlignment="1">
      <alignment horizontal="center" vertical="center"/>
    </xf>
    <xf numFmtId="10" fontId="3" fillId="0" borderId="0" xfId="2" applyNumberFormat="1" applyFont="1" applyFill="1"/>
    <xf numFmtId="10" fontId="4" fillId="0" borderId="0" xfId="2" applyNumberFormat="1" applyFont="1" applyFill="1"/>
    <xf numFmtId="2" fontId="3" fillId="0" borderId="0" xfId="2" applyNumberFormat="1" applyFont="1" applyFill="1" applyAlignment="1">
      <alignment vertical="center"/>
    </xf>
    <xf numFmtId="10" fontId="8" fillId="0" borderId="0" xfId="2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43" fontId="4" fillId="12" borderId="4" xfId="3" applyFont="1" applyFill="1" applyBorder="1" applyAlignment="1">
      <alignment horizontal="center" vertical="center" wrapText="1"/>
    </xf>
    <xf numFmtId="43" fontId="4" fillId="12" borderId="3" xfId="3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left" vertical="center"/>
    </xf>
    <xf numFmtId="0" fontId="4" fillId="12" borderId="3" xfId="0" applyFont="1" applyFill="1" applyBorder="1" applyAlignment="1">
      <alignment horizontal="left" vertical="center"/>
    </xf>
    <xf numFmtId="0" fontId="4" fillId="14" borderId="4" xfId="0" applyFont="1" applyFill="1" applyBorder="1" applyAlignment="1">
      <alignment horizontal="left" vertical="center"/>
    </xf>
    <xf numFmtId="0" fontId="4" fillId="14" borderId="3" xfId="0" applyFont="1" applyFill="1" applyBorder="1" applyAlignment="1">
      <alignment horizontal="left" vertical="center"/>
    </xf>
    <xf numFmtId="6" fontId="26" fillId="0" borderId="0" xfId="0" applyNumberFormat="1" applyFont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zoomScale="90" zoomScaleNormal="90" workbookViewId="0">
      <selection sqref="A1:XFD1048576"/>
    </sheetView>
  </sheetViews>
  <sheetFormatPr defaultRowHeight="15" x14ac:dyDescent="0.25"/>
  <cols>
    <col min="1" max="1" width="12.140625" style="201" customWidth="1"/>
    <col min="2" max="2" width="119.42578125" style="375" bestFit="1" customWidth="1"/>
    <col min="3" max="3" width="9.140625" style="431"/>
    <col min="4" max="4" width="49.5703125" style="54" customWidth="1"/>
    <col min="5" max="5" width="50.85546875" style="54" customWidth="1"/>
    <col min="6" max="6" width="35.85546875" style="201" bestFit="1" customWidth="1"/>
    <col min="8" max="16384" width="9.140625" style="51"/>
  </cols>
  <sheetData>
    <row r="1" spans="1:7" s="202" customFormat="1" ht="24" x14ac:dyDescent="0.25">
      <c r="A1" s="459" t="s">
        <v>526</v>
      </c>
      <c r="B1" s="459" t="s">
        <v>527</v>
      </c>
      <c r="C1" s="465"/>
      <c r="D1" s="239"/>
      <c r="E1" s="203" t="s">
        <v>628</v>
      </c>
      <c r="F1" s="204" t="s">
        <v>678</v>
      </c>
    </row>
    <row r="2" spans="1:7" s="230" customFormat="1" ht="12" x14ac:dyDescent="0.25">
      <c r="A2" s="466" t="s">
        <v>528</v>
      </c>
      <c r="B2" s="374"/>
      <c r="C2" s="416"/>
      <c r="D2" s="55" t="s">
        <v>780</v>
      </c>
      <c r="E2" s="55" t="s">
        <v>740</v>
      </c>
      <c r="F2" s="242" t="s">
        <v>741</v>
      </c>
    </row>
    <row r="3" spans="1:7" s="233" customFormat="1" ht="36" x14ac:dyDescent="0.25">
      <c r="A3" s="234" t="str">
        <f>'Table 3'!A6</f>
        <v>RD01</v>
      </c>
      <c r="B3" s="326" t="s">
        <v>676</v>
      </c>
      <c r="C3" s="460"/>
      <c r="D3" s="67" t="s">
        <v>845</v>
      </c>
      <c r="E3" s="67" t="s">
        <v>627</v>
      </c>
      <c r="F3" s="234" t="s">
        <v>677</v>
      </c>
      <c r="G3" s="324"/>
    </row>
    <row r="4" spans="1:7" s="233" customFormat="1" ht="36" x14ac:dyDescent="0.25">
      <c r="A4" s="234" t="str">
        <f>'Table 3'!A8</f>
        <v>RD02</v>
      </c>
      <c r="B4" s="326" t="s">
        <v>679</v>
      </c>
      <c r="C4" s="460"/>
      <c r="D4" s="67" t="s">
        <v>738</v>
      </c>
      <c r="E4" s="67" t="s">
        <v>627</v>
      </c>
      <c r="F4" s="234" t="s">
        <v>677</v>
      </c>
      <c r="G4" s="324"/>
    </row>
    <row r="5" spans="1:7" s="233" customFormat="1" ht="36" x14ac:dyDescent="0.25">
      <c r="A5" s="234" t="str">
        <f>'Table 3'!A9</f>
        <v xml:space="preserve">RD03 </v>
      </c>
      <c r="B5" s="326" t="s">
        <v>851</v>
      </c>
      <c r="C5" s="460"/>
      <c r="D5" s="67" t="s">
        <v>745</v>
      </c>
      <c r="E5" s="67" t="s">
        <v>627</v>
      </c>
      <c r="F5" s="234" t="s">
        <v>677</v>
      </c>
      <c r="G5" s="324"/>
    </row>
    <row r="6" spans="1:7" s="233" customFormat="1" ht="36" x14ac:dyDescent="0.25">
      <c r="A6" s="234" t="str">
        <f>'Table 3'!A11</f>
        <v xml:space="preserve">RD04 </v>
      </c>
      <c r="B6" s="326" t="s">
        <v>852</v>
      </c>
      <c r="C6" s="460"/>
      <c r="D6" s="67" t="s">
        <v>745</v>
      </c>
      <c r="E6" s="67" t="s">
        <v>627</v>
      </c>
      <c r="F6" s="234" t="s">
        <v>680</v>
      </c>
      <c r="G6" s="324"/>
    </row>
    <row r="7" spans="1:7" s="233" customFormat="1" ht="36" x14ac:dyDescent="0.25">
      <c r="A7" s="234" t="str">
        <f>'Table 3'!A13</f>
        <v xml:space="preserve">RD05 </v>
      </c>
      <c r="B7" s="326" t="s">
        <v>853</v>
      </c>
      <c r="C7" s="460"/>
      <c r="D7" s="67" t="s">
        <v>744</v>
      </c>
      <c r="E7" s="67" t="s">
        <v>627</v>
      </c>
      <c r="F7" s="234" t="s">
        <v>677</v>
      </c>
      <c r="G7" s="324"/>
    </row>
    <row r="8" spans="1:7" s="233" customFormat="1" ht="36" x14ac:dyDescent="0.25">
      <c r="A8" s="234" t="str">
        <f>'Table 3'!A15</f>
        <v xml:space="preserve">RD06 </v>
      </c>
      <c r="B8" s="326" t="s">
        <v>854</v>
      </c>
      <c r="C8" s="460"/>
      <c r="D8" s="67" t="s">
        <v>775</v>
      </c>
      <c r="E8" s="67" t="s">
        <v>627</v>
      </c>
      <c r="F8" s="234" t="s">
        <v>677</v>
      </c>
      <c r="G8" s="324"/>
    </row>
    <row r="9" spans="1:7" s="233" customFormat="1" ht="36" x14ac:dyDescent="0.25">
      <c r="A9" s="234" t="str">
        <f>'Table 3'!A17</f>
        <v xml:space="preserve">RD07 </v>
      </c>
      <c r="B9" s="326" t="s">
        <v>855</v>
      </c>
      <c r="C9" s="460"/>
      <c r="D9" s="67" t="s">
        <v>775</v>
      </c>
      <c r="E9" s="67" t="s">
        <v>627</v>
      </c>
      <c r="F9" s="234" t="s">
        <v>677</v>
      </c>
      <c r="G9" s="324"/>
    </row>
    <row r="10" spans="1:7" s="233" customFormat="1" ht="36" x14ac:dyDescent="0.25">
      <c r="A10" s="234" t="str">
        <f>'Table 3'!A19</f>
        <v xml:space="preserve">RD08 </v>
      </c>
      <c r="B10" s="326" t="s">
        <v>856</v>
      </c>
      <c r="C10" s="460"/>
      <c r="D10" s="67" t="s">
        <v>775</v>
      </c>
      <c r="E10" s="67" t="s">
        <v>627</v>
      </c>
      <c r="F10" s="67" t="s">
        <v>681</v>
      </c>
      <c r="G10" s="324"/>
    </row>
    <row r="11" spans="1:7" s="233" customFormat="1" ht="24" x14ac:dyDescent="0.25">
      <c r="A11" s="234" t="str">
        <f>'Table 3'!A21</f>
        <v xml:space="preserve">RD09 </v>
      </c>
      <c r="B11" s="326" t="s">
        <v>630</v>
      </c>
      <c r="C11" s="460"/>
      <c r="D11" s="67" t="s">
        <v>629</v>
      </c>
      <c r="E11" s="67" t="s">
        <v>629</v>
      </c>
      <c r="F11" s="234"/>
    </row>
    <row r="12" spans="1:7" s="233" customFormat="1" ht="24" x14ac:dyDescent="0.25">
      <c r="A12" s="234" t="str">
        <f>'Table 3'!A22</f>
        <v xml:space="preserve">RD10 </v>
      </c>
      <c r="B12" s="326" t="s">
        <v>630</v>
      </c>
      <c r="C12" s="460"/>
      <c r="D12" s="67" t="s">
        <v>629</v>
      </c>
      <c r="E12" s="67" t="s">
        <v>629</v>
      </c>
      <c r="F12" s="234"/>
    </row>
    <row r="13" spans="1:7" s="233" customFormat="1" ht="36" x14ac:dyDescent="0.25">
      <c r="A13" s="234" t="str">
        <f>'Table 3'!A23</f>
        <v xml:space="preserve">RD11 </v>
      </c>
      <c r="B13" s="326" t="s">
        <v>751</v>
      </c>
      <c r="C13" s="460"/>
      <c r="D13" s="67" t="s">
        <v>799</v>
      </c>
      <c r="E13" s="67" t="s">
        <v>627</v>
      </c>
      <c r="F13" s="234" t="s">
        <v>682</v>
      </c>
      <c r="G13" s="324"/>
    </row>
    <row r="14" spans="1:7" s="233" customFormat="1" ht="36" x14ac:dyDescent="0.25">
      <c r="A14" s="234" t="str">
        <f>'Table 3'!A26</f>
        <v xml:space="preserve">RD12 </v>
      </c>
      <c r="B14" s="326" t="s">
        <v>793</v>
      </c>
      <c r="C14" s="460"/>
      <c r="D14" s="67" t="s">
        <v>514</v>
      </c>
      <c r="E14" s="67" t="s">
        <v>627</v>
      </c>
      <c r="F14" s="234" t="s">
        <v>682</v>
      </c>
    </row>
    <row r="15" spans="1:7" s="233" customFormat="1" ht="12" x14ac:dyDescent="0.25">
      <c r="A15" s="234" t="s">
        <v>727</v>
      </c>
      <c r="B15" s="326" t="str">
        <f>'Table 3'!C27</f>
        <v>Skipped Project - There is no RD13 in the Toolern DCP</v>
      </c>
      <c r="C15" s="460"/>
      <c r="D15" s="67" t="s">
        <v>736</v>
      </c>
      <c r="E15" s="67" t="s">
        <v>736</v>
      </c>
      <c r="F15" s="234"/>
    </row>
    <row r="16" spans="1:7" s="233" customFormat="1" ht="36" x14ac:dyDescent="0.25">
      <c r="A16" s="234" t="str">
        <f>'Table 3'!A28</f>
        <v xml:space="preserve">RD14 </v>
      </c>
      <c r="B16" s="326" t="s">
        <v>752</v>
      </c>
      <c r="C16" s="460"/>
      <c r="D16" s="67" t="s">
        <v>775</v>
      </c>
      <c r="E16" s="67" t="s">
        <v>627</v>
      </c>
      <c r="F16" s="234" t="s">
        <v>683</v>
      </c>
      <c r="G16" s="324"/>
    </row>
    <row r="17" spans="1:7" s="233" customFormat="1" ht="36" x14ac:dyDescent="0.25">
      <c r="A17" s="234" t="str">
        <f>'Table 3'!A29</f>
        <v xml:space="preserve">RD15 </v>
      </c>
      <c r="B17" s="326" t="s">
        <v>568</v>
      </c>
      <c r="C17" s="460"/>
      <c r="D17" s="67" t="s">
        <v>775</v>
      </c>
      <c r="E17" s="67" t="s">
        <v>627</v>
      </c>
      <c r="F17" s="234" t="s">
        <v>683</v>
      </c>
      <c r="G17" s="324"/>
    </row>
    <row r="18" spans="1:7" s="233" customFormat="1" ht="36" x14ac:dyDescent="0.25">
      <c r="A18" s="234" t="str">
        <f>'Table 3'!A30</f>
        <v xml:space="preserve">RD16 </v>
      </c>
      <c r="B18" s="326" t="s">
        <v>569</v>
      </c>
      <c r="C18" s="460"/>
      <c r="D18" s="67" t="s">
        <v>775</v>
      </c>
      <c r="E18" s="67" t="s">
        <v>627</v>
      </c>
      <c r="F18" s="234" t="s">
        <v>683</v>
      </c>
      <c r="G18" s="324"/>
    </row>
    <row r="19" spans="1:7" s="233" customFormat="1" ht="24" x14ac:dyDescent="0.25">
      <c r="A19" s="234" t="str">
        <f>'Table 3'!A31</f>
        <v xml:space="preserve">RD17 </v>
      </c>
      <c r="B19" s="326" t="s">
        <v>857</v>
      </c>
      <c r="C19" s="460"/>
      <c r="D19" s="67" t="s">
        <v>964</v>
      </c>
      <c r="E19" s="67" t="s">
        <v>627</v>
      </c>
      <c r="F19" s="234" t="s">
        <v>683</v>
      </c>
      <c r="G19" s="324"/>
    </row>
    <row r="20" spans="1:7" s="233" customFormat="1" ht="36" x14ac:dyDescent="0.25">
      <c r="A20" s="234" t="str">
        <f>'Table 3'!A33</f>
        <v xml:space="preserve">RD18 </v>
      </c>
      <c r="B20" s="326" t="s">
        <v>570</v>
      </c>
      <c r="C20" s="460"/>
      <c r="D20" s="67" t="s">
        <v>514</v>
      </c>
      <c r="E20" s="67" t="s">
        <v>627</v>
      </c>
      <c r="F20" s="234" t="s">
        <v>683</v>
      </c>
    </row>
    <row r="21" spans="1:7" s="233" customFormat="1" ht="36" x14ac:dyDescent="0.25">
      <c r="A21" s="234" t="str">
        <f>'Table 3'!A36</f>
        <v xml:space="preserve">RD19 </v>
      </c>
      <c r="B21" s="326" t="s">
        <v>571</v>
      </c>
      <c r="C21" s="460"/>
      <c r="D21" s="67" t="s">
        <v>775</v>
      </c>
      <c r="E21" s="67" t="s">
        <v>627</v>
      </c>
      <c r="F21" s="234" t="s">
        <v>683</v>
      </c>
      <c r="G21" s="324"/>
    </row>
    <row r="22" spans="1:7" s="233" customFormat="1" ht="24" x14ac:dyDescent="0.25">
      <c r="A22" s="234" t="str">
        <f>'Table 3'!A38</f>
        <v xml:space="preserve">RD20 </v>
      </c>
      <c r="B22" s="326" t="s">
        <v>858</v>
      </c>
      <c r="C22" s="460"/>
      <c r="D22" s="67" t="s">
        <v>738</v>
      </c>
      <c r="E22" s="67" t="s">
        <v>627</v>
      </c>
      <c r="F22" s="234" t="s">
        <v>683</v>
      </c>
    </row>
    <row r="23" spans="1:7" s="233" customFormat="1" ht="24" x14ac:dyDescent="0.25">
      <c r="A23" s="234" t="str">
        <f>'Table 3'!A40</f>
        <v xml:space="preserve">RD21 </v>
      </c>
      <c r="B23" s="326" t="s">
        <v>859</v>
      </c>
      <c r="C23" s="460"/>
      <c r="D23" s="67" t="s">
        <v>775</v>
      </c>
      <c r="E23" s="67" t="s">
        <v>627</v>
      </c>
      <c r="F23" s="234" t="s">
        <v>683</v>
      </c>
      <c r="G23" s="324"/>
    </row>
    <row r="24" spans="1:7" s="233" customFormat="1" ht="24" x14ac:dyDescent="0.25">
      <c r="A24" s="234" t="s">
        <v>511</v>
      </c>
      <c r="B24" s="326" t="s">
        <v>572</v>
      </c>
      <c r="C24" s="460"/>
      <c r="D24" s="67" t="s">
        <v>783</v>
      </c>
      <c r="E24" s="67" t="s">
        <v>653</v>
      </c>
      <c r="F24" s="234"/>
    </row>
    <row r="25" spans="1:7" s="233" customFormat="1" ht="24" x14ac:dyDescent="0.25">
      <c r="A25" s="234" t="s">
        <v>512</v>
      </c>
      <c r="B25" s="326" t="s">
        <v>860</v>
      </c>
      <c r="C25" s="460"/>
      <c r="D25" s="67" t="s">
        <v>784</v>
      </c>
      <c r="E25" s="67" t="s">
        <v>653</v>
      </c>
      <c r="F25" s="234"/>
    </row>
    <row r="26" spans="1:7" s="233" customFormat="1" ht="24" x14ac:dyDescent="0.25">
      <c r="A26" s="234" t="s">
        <v>513</v>
      </c>
      <c r="B26" s="326" t="s">
        <v>869</v>
      </c>
      <c r="C26" s="460"/>
      <c r="D26" s="67" t="s">
        <v>785</v>
      </c>
      <c r="E26" s="67" t="s">
        <v>653</v>
      </c>
      <c r="F26" s="234"/>
    </row>
    <row r="27" spans="1:7" x14ac:dyDescent="0.25">
      <c r="A27" s="467" t="s">
        <v>549</v>
      </c>
      <c r="B27" s="49"/>
      <c r="D27" s="63"/>
      <c r="E27" s="63"/>
      <c r="F27" s="200"/>
    </row>
    <row r="28" spans="1:7" s="233" customFormat="1" ht="24" x14ac:dyDescent="0.25">
      <c r="A28" s="234" t="str">
        <f>'Table 3'!A46</f>
        <v xml:space="preserve">IT01 </v>
      </c>
      <c r="B28" s="325" t="s">
        <v>573</v>
      </c>
      <c r="C28" s="460"/>
      <c r="D28" s="67" t="s">
        <v>775</v>
      </c>
      <c r="E28" s="67" t="s">
        <v>627</v>
      </c>
      <c r="F28" s="234"/>
      <c r="G28" s="324"/>
    </row>
    <row r="29" spans="1:7" s="233" customFormat="1" ht="24" x14ac:dyDescent="0.25">
      <c r="A29" s="234" t="str">
        <f>'Table 3'!A47</f>
        <v xml:space="preserve">IT02 </v>
      </c>
      <c r="B29" s="325" t="s">
        <v>574</v>
      </c>
      <c r="C29" s="460"/>
      <c r="D29" s="67" t="s">
        <v>775</v>
      </c>
      <c r="E29" s="67" t="s">
        <v>627</v>
      </c>
      <c r="F29" s="234"/>
      <c r="G29" s="324"/>
    </row>
    <row r="30" spans="1:7" s="233" customFormat="1" ht="24" x14ac:dyDescent="0.25">
      <c r="A30" s="234" t="str">
        <f>'Table 3'!A48</f>
        <v xml:space="preserve">IT03 </v>
      </c>
      <c r="B30" s="325" t="s">
        <v>861</v>
      </c>
      <c r="C30" s="460"/>
      <c r="D30" s="67" t="s">
        <v>775</v>
      </c>
      <c r="E30" s="67" t="s">
        <v>627</v>
      </c>
      <c r="F30" s="234"/>
      <c r="G30" s="324"/>
    </row>
    <row r="31" spans="1:7" s="233" customFormat="1" ht="24" x14ac:dyDescent="0.25">
      <c r="A31" s="234" t="str">
        <f>'Table 3'!A49</f>
        <v xml:space="preserve">IT04 </v>
      </c>
      <c r="B31" s="325" t="s">
        <v>575</v>
      </c>
      <c r="C31" s="460"/>
      <c r="D31" s="67" t="s">
        <v>775</v>
      </c>
      <c r="E31" s="67" t="s">
        <v>627</v>
      </c>
      <c r="F31" s="234"/>
      <c r="G31" s="324"/>
    </row>
    <row r="32" spans="1:7" s="233" customFormat="1" ht="24" x14ac:dyDescent="0.25">
      <c r="A32" s="234" t="str">
        <f>'Table 3'!A50</f>
        <v xml:space="preserve">IT05 </v>
      </c>
      <c r="B32" s="325" t="s">
        <v>862</v>
      </c>
      <c r="C32" s="460"/>
      <c r="D32" s="67" t="s">
        <v>775</v>
      </c>
      <c r="E32" s="67" t="s">
        <v>627</v>
      </c>
      <c r="F32" s="234"/>
      <c r="G32" s="324"/>
    </row>
    <row r="33" spans="1:7" s="233" customFormat="1" ht="24" x14ac:dyDescent="0.25">
      <c r="A33" s="234" t="str">
        <f>'Table 3'!A51</f>
        <v xml:space="preserve">IT06 </v>
      </c>
      <c r="B33" s="325" t="s">
        <v>863</v>
      </c>
      <c r="C33" s="460"/>
      <c r="D33" s="67" t="s">
        <v>775</v>
      </c>
      <c r="E33" s="67" t="s">
        <v>627</v>
      </c>
      <c r="F33" s="234"/>
      <c r="G33" s="324"/>
    </row>
    <row r="34" spans="1:7" s="233" customFormat="1" ht="24" x14ac:dyDescent="0.25">
      <c r="A34" s="234" t="str">
        <f>'Table 3'!A52</f>
        <v xml:space="preserve">IT07 </v>
      </c>
      <c r="B34" s="325" t="s">
        <v>864</v>
      </c>
      <c r="C34" s="460"/>
      <c r="D34" s="67" t="s">
        <v>775</v>
      </c>
      <c r="E34" s="67" t="s">
        <v>627</v>
      </c>
      <c r="F34" s="234"/>
      <c r="G34" s="324"/>
    </row>
    <row r="35" spans="1:7" s="233" customFormat="1" ht="14.25" customHeight="1" x14ac:dyDescent="0.25">
      <c r="A35" s="234" t="str">
        <f>'Table 3'!A53</f>
        <v xml:space="preserve">IT08 </v>
      </c>
      <c r="B35" s="325" t="s">
        <v>630</v>
      </c>
      <c r="C35" s="460"/>
      <c r="D35" s="67" t="str">
        <f>E35</f>
        <v>Project deleted as it is located in the Rockbank South PSP area</v>
      </c>
      <c r="E35" s="67" t="s">
        <v>629</v>
      </c>
      <c r="F35" s="234"/>
    </row>
    <row r="36" spans="1:7" s="233" customFormat="1" ht="11.25" customHeight="1" x14ac:dyDescent="0.25">
      <c r="A36" s="234" t="str">
        <f>'Table 3'!A54</f>
        <v xml:space="preserve">IT09 </v>
      </c>
      <c r="B36" s="325" t="s">
        <v>630</v>
      </c>
      <c r="C36" s="460"/>
      <c r="D36" s="67" t="str">
        <f>E36</f>
        <v>Project deleted as it is located in the Rockbank South PSP area</v>
      </c>
      <c r="E36" s="67" t="s">
        <v>629</v>
      </c>
      <c r="F36" s="234"/>
    </row>
    <row r="37" spans="1:7" s="233" customFormat="1" ht="24" x14ac:dyDescent="0.25">
      <c r="A37" s="234" t="str">
        <f>'Table 3'!A55</f>
        <v xml:space="preserve">IT10 </v>
      </c>
      <c r="B37" s="325" t="s">
        <v>773</v>
      </c>
      <c r="C37" s="460"/>
      <c r="D37" s="67" t="s">
        <v>737</v>
      </c>
      <c r="E37" s="67" t="s">
        <v>627</v>
      </c>
      <c r="F37" s="234"/>
      <c r="G37" s="324"/>
    </row>
    <row r="38" spans="1:7" s="233" customFormat="1" ht="12" x14ac:dyDescent="0.25">
      <c r="A38" s="234" t="s">
        <v>725</v>
      </c>
      <c r="B38" s="325" t="str">
        <f>'Table 3'!C56</f>
        <v>Skipped Project - There is no IT11 in the Toolern DCP</v>
      </c>
      <c r="C38" s="460"/>
      <c r="D38" s="67" t="str">
        <f>E38</f>
        <v>This project was skipped in the Toolern DCP</v>
      </c>
      <c r="E38" s="67" t="s">
        <v>736</v>
      </c>
      <c r="F38" s="234"/>
    </row>
    <row r="39" spans="1:7" s="233" customFormat="1" ht="24" x14ac:dyDescent="0.25">
      <c r="A39" s="234" t="str">
        <f>'Table 3'!A57</f>
        <v xml:space="preserve">IT12 </v>
      </c>
      <c r="B39" s="325" t="s">
        <v>576</v>
      </c>
      <c r="C39" s="460"/>
      <c r="D39" s="67" t="s">
        <v>775</v>
      </c>
      <c r="E39" s="67" t="s">
        <v>627</v>
      </c>
      <c r="F39" s="234"/>
      <c r="G39" s="324"/>
    </row>
    <row r="40" spans="1:7" s="233" customFormat="1" ht="24" x14ac:dyDescent="0.25">
      <c r="A40" s="234" t="str">
        <f>'Table 3'!A58</f>
        <v xml:space="preserve">IT13 </v>
      </c>
      <c r="B40" s="325" t="s">
        <v>774</v>
      </c>
      <c r="C40" s="460"/>
      <c r="D40" s="67" t="s">
        <v>775</v>
      </c>
      <c r="E40" s="67" t="s">
        <v>627</v>
      </c>
      <c r="F40" s="234"/>
      <c r="G40" s="324"/>
    </row>
    <row r="41" spans="1:7" s="233" customFormat="1" ht="24" x14ac:dyDescent="0.25">
      <c r="A41" s="234" t="str">
        <f>'Table 3'!A59</f>
        <v xml:space="preserve">IT14 </v>
      </c>
      <c r="B41" s="325" t="s">
        <v>577</v>
      </c>
      <c r="C41" s="460"/>
      <c r="D41" s="67" t="s">
        <v>514</v>
      </c>
      <c r="E41" s="67" t="s">
        <v>627</v>
      </c>
      <c r="F41" s="234"/>
    </row>
    <row r="42" spans="1:7" s="233" customFormat="1" ht="24" x14ac:dyDescent="0.25">
      <c r="A42" s="234" t="str">
        <f>'Table 3'!A60</f>
        <v xml:space="preserve">IT15 </v>
      </c>
      <c r="B42" s="325" t="s">
        <v>578</v>
      </c>
      <c r="C42" s="460"/>
      <c r="D42" s="67" t="s">
        <v>848</v>
      </c>
      <c r="E42" s="67" t="s">
        <v>627</v>
      </c>
      <c r="F42" s="234"/>
      <c r="G42" s="324"/>
    </row>
    <row r="43" spans="1:7" s="233" customFormat="1" ht="24" x14ac:dyDescent="0.25">
      <c r="A43" s="234" t="str">
        <f>'Table 3'!A61</f>
        <v xml:space="preserve">IT16 </v>
      </c>
      <c r="B43" s="325" t="s">
        <v>579</v>
      </c>
      <c r="C43" s="460"/>
      <c r="D43" s="67" t="s">
        <v>775</v>
      </c>
      <c r="E43" s="67" t="s">
        <v>627</v>
      </c>
      <c r="F43" s="234"/>
      <c r="G43" s="324"/>
    </row>
    <row r="44" spans="1:7" s="233" customFormat="1" ht="24" x14ac:dyDescent="0.25">
      <c r="A44" s="234" t="str">
        <f>'Table 3'!A62</f>
        <v xml:space="preserve">IT17 </v>
      </c>
      <c r="B44" s="325" t="s">
        <v>580</v>
      </c>
      <c r="C44" s="460"/>
      <c r="D44" s="67" t="s">
        <v>775</v>
      </c>
      <c r="E44" s="67" t="s">
        <v>627</v>
      </c>
      <c r="F44" s="234"/>
      <c r="G44" s="324"/>
    </row>
    <row r="45" spans="1:7" s="233" customFormat="1" ht="24" x14ac:dyDescent="0.25">
      <c r="A45" s="234" t="str">
        <f>'Table 3'!A63</f>
        <v xml:space="preserve">IT18 </v>
      </c>
      <c r="B45" s="325" t="s">
        <v>581</v>
      </c>
      <c r="C45" s="460"/>
      <c r="D45" s="67" t="s">
        <v>775</v>
      </c>
      <c r="E45" s="67" t="s">
        <v>627</v>
      </c>
      <c r="F45" s="234"/>
      <c r="G45" s="324"/>
    </row>
    <row r="46" spans="1:7" s="233" customFormat="1" ht="24" x14ac:dyDescent="0.25">
      <c r="A46" s="234" t="str">
        <f>'Table 3'!A64</f>
        <v xml:space="preserve">IT19 </v>
      </c>
      <c r="B46" s="325" t="s">
        <v>748</v>
      </c>
      <c r="C46" s="460"/>
      <c r="D46" s="67" t="s">
        <v>514</v>
      </c>
      <c r="E46" s="67" t="s">
        <v>627</v>
      </c>
      <c r="F46" s="234"/>
    </row>
    <row r="47" spans="1:7" s="233" customFormat="1" ht="24" x14ac:dyDescent="0.25">
      <c r="A47" s="234" t="str">
        <f>'Table 3'!A65</f>
        <v xml:space="preserve">IT20 </v>
      </c>
      <c r="B47" s="325" t="s">
        <v>582</v>
      </c>
      <c r="C47" s="460"/>
      <c r="D47" s="67" t="s">
        <v>775</v>
      </c>
      <c r="E47" s="67" t="s">
        <v>627</v>
      </c>
      <c r="F47" s="234"/>
      <c r="G47" s="324"/>
    </row>
    <row r="48" spans="1:7" s="233" customFormat="1" ht="24" x14ac:dyDescent="0.25">
      <c r="A48" s="234" t="str">
        <f>'Table 3'!A66</f>
        <v xml:space="preserve">IT21 </v>
      </c>
      <c r="B48" s="325" t="s">
        <v>865</v>
      </c>
      <c r="C48" s="460"/>
      <c r="D48" s="67" t="s">
        <v>775</v>
      </c>
      <c r="E48" s="67" t="s">
        <v>627</v>
      </c>
      <c r="F48" s="234"/>
      <c r="G48" s="324"/>
    </row>
    <row r="49" spans="1:7" s="233" customFormat="1" ht="24" x14ac:dyDescent="0.25">
      <c r="A49" s="234" t="str">
        <f>'Table 3'!A67</f>
        <v xml:space="preserve">IT22 </v>
      </c>
      <c r="B49" s="325" t="s">
        <v>866</v>
      </c>
      <c r="C49" s="460"/>
      <c r="D49" s="67" t="s">
        <v>775</v>
      </c>
      <c r="E49" s="67" t="s">
        <v>627</v>
      </c>
      <c r="F49" s="234"/>
      <c r="G49" s="324"/>
    </row>
    <row r="50" spans="1:7" s="233" customFormat="1" ht="24" x14ac:dyDescent="0.25">
      <c r="A50" s="234" t="str">
        <f>'Table 3'!A68</f>
        <v xml:space="preserve">IT23 </v>
      </c>
      <c r="B50" s="325" t="s">
        <v>867</v>
      </c>
      <c r="C50" s="460"/>
      <c r="D50" s="67" t="s">
        <v>775</v>
      </c>
      <c r="E50" s="67" t="s">
        <v>627</v>
      </c>
      <c r="F50" s="234"/>
      <c r="G50" s="324"/>
    </row>
    <row r="51" spans="1:7" s="233" customFormat="1" ht="24" x14ac:dyDescent="0.25">
      <c r="A51" s="234" t="str">
        <f>'Table 3'!A69</f>
        <v xml:space="preserve">IT24 </v>
      </c>
      <c r="B51" s="325" t="s">
        <v>844</v>
      </c>
      <c r="C51" s="460"/>
      <c r="D51" s="67" t="s">
        <v>514</v>
      </c>
      <c r="E51" s="67" t="s">
        <v>627</v>
      </c>
      <c r="F51" s="234"/>
    </row>
    <row r="52" spans="1:7" s="233" customFormat="1" ht="24" x14ac:dyDescent="0.25">
      <c r="A52" s="234" t="str">
        <f>'Table 3'!A70</f>
        <v xml:space="preserve">IT25 </v>
      </c>
      <c r="B52" s="325" t="s">
        <v>583</v>
      </c>
      <c r="C52" s="460"/>
      <c r="D52" s="67" t="s">
        <v>775</v>
      </c>
      <c r="E52" s="67" t="s">
        <v>627</v>
      </c>
      <c r="F52" s="234"/>
      <c r="G52" s="324"/>
    </row>
    <row r="53" spans="1:7" s="233" customFormat="1" ht="24" x14ac:dyDescent="0.25">
      <c r="A53" s="234" t="str">
        <f>'Table 3'!A71</f>
        <v xml:space="preserve">IT26 </v>
      </c>
      <c r="B53" s="325" t="s">
        <v>584</v>
      </c>
      <c r="C53" s="460"/>
      <c r="D53" s="67" t="s">
        <v>792</v>
      </c>
      <c r="E53" s="67" t="s">
        <v>627</v>
      </c>
      <c r="F53" s="234"/>
      <c r="G53" s="324"/>
    </row>
    <row r="54" spans="1:7" s="233" customFormat="1" ht="24" x14ac:dyDescent="0.25">
      <c r="A54" s="234" t="str">
        <f>'Table 3'!A72</f>
        <v xml:space="preserve">IT27 </v>
      </c>
      <c r="B54" s="325" t="s">
        <v>585</v>
      </c>
      <c r="C54" s="460"/>
      <c r="D54" s="67" t="s">
        <v>792</v>
      </c>
      <c r="E54" s="67" t="s">
        <v>627</v>
      </c>
      <c r="F54" s="234"/>
      <c r="G54" s="324"/>
    </row>
    <row r="55" spans="1:7" s="233" customFormat="1" ht="24" x14ac:dyDescent="0.25">
      <c r="A55" s="234" t="str">
        <f>'Table 3'!A73</f>
        <v xml:space="preserve">IT28 </v>
      </c>
      <c r="B55" s="325" t="s">
        <v>586</v>
      </c>
      <c r="C55" s="460"/>
      <c r="D55" s="67" t="s">
        <v>792</v>
      </c>
      <c r="E55" s="67" t="s">
        <v>627</v>
      </c>
      <c r="F55" s="234"/>
      <c r="G55" s="324"/>
    </row>
    <row r="56" spans="1:7" s="233" customFormat="1" ht="24" x14ac:dyDescent="0.25">
      <c r="A56" s="234" t="s">
        <v>503</v>
      </c>
      <c r="B56" s="325" t="s">
        <v>587</v>
      </c>
      <c r="C56" s="460"/>
      <c r="D56" s="67" t="s">
        <v>742</v>
      </c>
      <c r="E56" s="67" t="s">
        <v>647</v>
      </c>
      <c r="F56" s="234"/>
    </row>
    <row r="57" spans="1:7" s="233" customFormat="1" ht="24" x14ac:dyDescent="0.25">
      <c r="A57" s="234" t="s">
        <v>504</v>
      </c>
      <c r="B57" s="325" t="s">
        <v>588</v>
      </c>
      <c r="C57" s="460"/>
      <c r="D57" s="67" t="s">
        <v>786</v>
      </c>
      <c r="E57" s="67" t="s">
        <v>652</v>
      </c>
      <c r="F57" s="234"/>
    </row>
    <row r="58" spans="1:7" s="233" customFormat="1" ht="24" x14ac:dyDescent="0.25">
      <c r="A58" s="234" t="s">
        <v>505</v>
      </c>
      <c r="B58" s="325" t="s">
        <v>589</v>
      </c>
      <c r="C58" s="460"/>
      <c r="D58" s="67" t="s">
        <v>787</v>
      </c>
      <c r="E58" s="67" t="s">
        <v>652</v>
      </c>
      <c r="F58" s="234"/>
    </row>
    <row r="59" spans="1:7" s="233" customFormat="1" ht="24" x14ac:dyDescent="0.25">
      <c r="A59" s="234" t="s">
        <v>506</v>
      </c>
      <c r="B59" s="325" t="s">
        <v>590</v>
      </c>
      <c r="C59" s="460"/>
      <c r="D59" s="67" t="s">
        <v>788</v>
      </c>
      <c r="E59" s="67" t="s">
        <v>652</v>
      </c>
      <c r="F59" s="234"/>
    </row>
    <row r="60" spans="1:7" x14ac:dyDescent="0.25">
      <c r="A60" s="467" t="s">
        <v>550</v>
      </c>
      <c r="B60" s="48"/>
      <c r="D60" s="63"/>
      <c r="E60" s="63"/>
      <c r="F60" s="200"/>
    </row>
    <row r="61" spans="1:7" s="233" customFormat="1" ht="24" x14ac:dyDescent="0.25">
      <c r="A61" s="234" t="s">
        <v>289</v>
      </c>
      <c r="B61" s="326" t="s">
        <v>591</v>
      </c>
      <c r="C61" s="460"/>
      <c r="D61" s="67" t="s">
        <v>514</v>
      </c>
      <c r="E61" s="67" t="s">
        <v>627</v>
      </c>
      <c r="F61" s="234"/>
    </row>
    <row r="62" spans="1:7" s="233" customFormat="1" ht="24" x14ac:dyDescent="0.25">
      <c r="A62" s="234" t="s">
        <v>290</v>
      </c>
      <c r="B62" s="326" t="s">
        <v>592</v>
      </c>
      <c r="C62" s="460"/>
      <c r="D62" s="67" t="s">
        <v>514</v>
      </c>
      <c r="E62" s="67" t="s">
        <v>627</v>
      </c>
      <c r="F62" s="234"/>
    </row>
    <row r="63" spans="1:7" s="233" customFormat="1" ht="24" x14ac:dyDescent="0.25">
      <c r="A63" s="234" t="s">
        <v>291</v>
      </c>
      <c r="B63" s="326" t="s">
        <v>868</v>
      </c>
      <c r="C63" s="460"/>
      <c r="D63" s="67" t="s">
        <v>775</v>
      </c>
      <c r="E63" s="67" t="s">
        <v>627</v>
      </c>
      <c r="F63" s="234"/>
      <c r="G63" s="324"/>
    </row>
    <row r="64" spans="1:7" s="233" customFormat="1" ht="24" x14ac:dyDescent="0.25">
      <c r="A64" s="234" t="s">
        <v>292</v>
      </c>
      <c r="B64" s="326" t="s">
        <v>754</v>
      </c>
      <c r="C64" s="460"/>
      <c r="D64" s="67" t="s">
        <v>775</v>
      </c>
      <c r="E64" s="67" t="s">
        <v>627</v>
      </c>
      <c r="F64" s="234"/>
      <c r="G64" s="324"/>
    </row>
    <row r="65" spans="1:7" s="233" customFormat="1" ht="24" x14ac:dyDescent="0.25">
      <c r="A65" s="234" t="s">
        <v>293</v>
      </c>
      <c r="B65" s="326" t="s">
        <v>755</v>
      </c>
      <c r="C65" s="460"/>
      <c r="D65" s="67" t="s">
        <v>775</v>
      </c>
      <c r="E65" s="67" t="s">
        <v>627</v>
      </c>
      <c r="F65" s="234"/>
      <c r="G65" s="324"/>
    </row>
    <row r="66" spans="1:7" s="233" customFormat="1" ht="24" x14ac:dyDescent="0.25">
      <c r="A66" s="234" t="s">
        <v>294</v>
      </c>
      <c r="B66" s="326" t="s">
        <v>756</v>
      </c>
      <c r="C66" s="460"/>
      <c r="D66" s="67" t="s">
        <v>775</v>
      </c>
      <c r="E66" s="67" t="s">
        <v>627</v>
      </c>
      <c r="F66" s="234"/>
      <c r="G66" s="324"/>
    </row>
    <row r="67" spans="1:7" s="233" customFormat="1" ht="24" x14ac:dyDescent="0.25">
      <c r="A67" s="234" t="s">
        <v>295</v>
      </c>
      <c r="B67" s="326" t="s">
        <v>593</v>
      </c>
      <c r="C67" s="460"/>
      <c r="D67" s="67" t="s">
        <v>775</v>
      </c>
      <c r="E67" s="67" t="s">
        <v>627</v>
      </c>
      <c r="F67" s="234"/>
      <c r="G67" s="324"/>
    </row>
    <row r="68" spans="1:7" s="233" customFormat="1" ht="24" x14ac:dyDescent="0.25">
      <c r="A68" s="234" t="s">
        <v>296</v>
      </c>
      <c r="B68" s="326" t="s">
        <v>594</v>
      </c>
      <c r="C68" s="460"/>
      <c r="D68" s="67" t="s">
        <v>775</v>
      </c>
      <c r="E68" s="67" t="s">
        <v>627</v>
      </c>
      <c r="F68" s="234"/>
      <c r="G68" s="324"/>
    </row>
    <row r="69" spans="1:7" s="233" customFormat="1" ht="12" x14ac:dyDescent="0.25">
      <c r="A69" s="234" t="s">
        <v>297</v>
      </c>
      <c r="B69" s="326" t="s">
        <v>630</v>
      </c>
      <c r="C69" s="460"/>
      <c r="D69" s="67" t="str">
        <f>E69</f>
        <v>Project deleted as it has been replaced by BD16</v>
      </c>
      <c r="E69" s="67" t="s">
        <v>631</v>
      </c>
      <c r="F69" s="234"/>
    </row>
    <row r="70" spans="1:7" s="233" customFormat="1" ht="24" x14ac:dyDescent="0.25">
      <c r="A70" s="234" t="s">
        <v>298</v>
      </c>
      <c r="B70" s="326" t="s">
        <v>872</v>
      </c>
      <c r="C70" s="460"/>
      <c r="D70" s="67" t="s">
        <v>775</v>
      </c>
      <c r="E70" s="67" t="s">
        <v>627</v>
      </c>
      <c r="F70" s="234"/>
      <c r="G70" s="324"/>
    </row>
    <row r="71" spans="1:7" s="233" customFormat="1" ht="24" x14ac:dyDescent="0.25">
      <c r="A71" s="234" t="s">
        <v>299</v>
      </c>
      <c r="B71" s="326" t="s">
        <v>630</v>
      </c>
      <c r="C71" s="460"/>
      <c r="D71" s="67" t="s">
        <v>632</v>
      </c>
      <c r="E71" s="67" t="s">
        <v>632</v>
      </c>
      <c r="F71" s="234"/>
    </row>
    <row r="72" spans="1:7" s="233" customFormat="1" ht="24" x14ac:dyDescent="0.25">
      <c r="A72" s="234" t="s">
        <v>300</v>
      </c>
      <c r="B72" s="326" t="s">
        <v>630</v>
      </c>
      <c r="C72" s="460"/>
      <c r="D72" s="67" t="s">
        <v>632</v>
      </c>
      <c r="E72" s="67" t="s">
        <v>633</v>
      </c>
      <c r="F72" s="234"/>
    </row>
    <row r="73" spans="1:7" s="233" customFormat="1" ht="24" x14ac:dyDescent="0.25">
      <c r="A73" s="234" t="s">
        <v>301</v>
      </c>
      <c r="B73" s="326" t="s">
        <v>630</v>
      </c>
      <c r="C73" s="460"/>
      <c r="D73" s="67" t="s">
        <v>632</v>
      </c>
      <c r="E73" s="67" t="s">
        <v>633</v>
      </c>
      <c r="F73" s="234"/>
    </row>
    <row r="74" spans="1:7" s="233" customFormat="1" ht="24" x14ac:dyDescent="0.25">
      <c r="A74" s="234" t="s">
        <v>302</v>
      </c>
      <c r="B74" s="326" t="s">
        <v>757</v>
      </c>
      <c r="C74" s="460"/>
      <c r="D74" s="67" t="s">
        <v>775</v>
      </c>
      <c r="E74" s="67" t="s">
        <v>627</v>
      </c>
      <c r="F74" s="234"/>
      <c r="G74" s="324"/>
    </row>
    <row r="75" spans="1:7" s="233" customFormat="1" ht="24" x14ac:dyDescent="0.25">
      <c r="A75" s="234" t="s">
        <v>507</v>
      </c>
      <c r="B75" s="326" t="s">
        <v>973</v>
      </c>
      <c r="C75" s="460"/>
      <c r="D75" s="67" t="s">
        <v>742</v>
      </c>
      <c r="E75" s="67" t="s">
        <v>648</v>
      </c>
      <c r="F75" s="234"/>
    </row>
    <row r="76" spans="1:7" s="233" customFormat="1" ht="24" x14ac:dyDescent="0.25">
      <c r="A76" s="234" t="s">
        <v>508</v>
      </c>
      <c r="B76" s="326" t="s">
        <v>720</v>
      </c>
      <c r="C76" s="460"/>
      <c r="D76" s="67" t="s">
        <v>742</v>
      </c>
      <c r="E76" s="67" t="s">
        <v>648</v>
      </c>
      <c r="F76" s="234"/>
    </row>
    <row r="77" spans="1:7" s="233" customFormat="1" ht="24" x14ac:dyDescent="0.25">
      <c r="A77" s="234" t="s">
        <v>509</v>
      </c>
      <c r="B77" s="326" t="s">
        <v>721</v>
      </c>
      <c r="C77" s="460"/>
      <c r="D77" s="67" t="s">
        <v>789</v>
      </c>
      <c r="E77" s="67" t="s">
        <v>650</v>
      </c>
      <c r="F77" s="234"/>
    </row>
    <row r="78" spans="1:7" s="233" customFormat="1" ht="48" x14ac:dyDescent="0.25">
      <c r="A78" s="234" t="s">
        <v>510</v>
      </c>
      <c r="B78" s="326" t="s">
        <v>925</v>
      </c>
      <c r="C78" s="460"/>
      <c r="D78" s="67" t="s">
        <v>790</v>
      </c>
      <c r="E78" s="67" t="s">
        <v>650</v>
      </c>
      <c r="F78" s="234"/>
    </row>
    <row r="79" spans="1:7" s="233" customFormat="1" ht="36" x14ac:dyDescent="0.25">
      <c r="A79" s="234" t="s">
        <v>515</v>
      </c>
      <c r="B79" s="326" t="s">
        <v>873</v>
      </c>
      <c r="C79" s="460"/>
      <c r="D79" s="67" t="s">
        <v>743</v>
      </c>
      <c r="E79" s="67" t="s">
        <v>651</v>
      </c>
      <c r="F79" s="234"/>
    </row>
    <row r="80" spans="1:7" s="233" customFormat="1" ht="36" x14ac:dyDescent="0.25">
      <c r="A80" s="234" t="s">
        <v>516</v>
      </c>
      <c r="B80" s="326" t="s">
        <v>874</v>
      </c>
      <c r="C80" s="460"/>
      <c r="D80" s="67" t="s">
        <v>747</v>
      </c>
      <c r="E80" s="67" t="s">
        <v>649</v>
      </c>
      <c r="F80" s="234"/>
    </row>
    <row r="81" spans="1:6" s="233" customFormat="1" ht="48" x14ac:dyDescent="0.25">
      <c r="A81" s="234" t="s">
        <v>517</v>
      </c>
      <c r="B81" s="326" t="s">
        <v>796</v>
      </c>
      <c r="C81" s="460"/>
      <c r="D81" s="67" t="s">
        <v>743</v>
      </c>
      <c r="E81" s="67" t="s">
        <v>649</v>
      </c>
      <c r="F81" s="234"/>
    </row>
    <row r="82" spans="1:6" x14ac:dyDescent="0.25">
      <c r="A82" s="468" t="s">
        <v>735</v>
      </c>
      <c r="B82" s="49"/>
    </row>
    <row r="83" spans="1:6" s="233" customFormat="1" ht="24" x14ac:dyDescent="0.25">
      <c r="A83" s="234" t="s">
        <v>491</v>
      </c>
      <c r="B83" s="326" t="s">
        <v>849</v>
      </c>
      <c r="C83" s="460"/>
      <c r="D83" s="67" t="s">
        <v>514</v>
      </c>
      <c r="E83" s="67" t="s">
        <v>627</v>
      </c>
      <c r="F83" s="234"/>
    </row>
  </sheetData>
  <sheetProtection algorithmName="SHA-512" hashValue="e47dtHtuKgv4o1VtQJUN2OlGEcnxjl4exvIMtwULTlqcNcnkOk7XbfM4JT0GAwetY5FbR5xA5X7aTWDhM2lHOA==" saltValue="L5yp9bw9JBP2opwvd4k9cA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72"/>
  <sheetViews>
    <sheetView zoomScaleNormal="100" workbookViewId="0">
      <pane xSplit="1" topLeftCell="B1" activePane="topRight" state="frozen"/>
      <selection pane="topRight" sqref="A1:XFD1048576"/>
    </sheetView>
  </sheetViews>
  <sheetFormatPr defaultColWidth="9.140625" defaultRowHeight="12" x14ac:dyDescent="0.25"/>
  <cols>
    <col min="1" max="1" width="10" style="100" customWidth="1"/>
    <col min="2" max="2" width="14.140625" style="3" customWidth="1"/>
    <col min="3" max="3" width="88.7109375" style="100" customWidth="1"/>
    <col min="4" max="4" width="15.5703125" style="329" customWidth="1"/>
    <col min="5" max="5" width="7" style="330" hidden="1" customWidth="1"/>
    <col min="6" max="6" width="15.5703125" style="329" customWidth="1"/>
    <col min="7" max="7" width="6.85546875" style="330" hidden="1" customWidth="1"/>
    <col min="8" max="8" width="15.5703125" style="329" customWidth="1"/>
    <col min="9" max="9" width="6.85546875" style="330" hidden="1" customWidth="1"/>
    <col min="10" max="10" width="15.5703125" style="329" customWidth="1"/>
    <col min="11" max="11" width="6.7109375" style="330" hidden="1" customWidth="1"/>
    <col min="12" max="13" width="15.5703125" style="329" customWidth="1"/>
    <col min="14" max="14" width="11.28515625" style="331" hidden="1" customWidth="1"/>
    <col min="15" max="15" width="3.5703125" style="470" customWidth="1"/>
    <col min="16" max="16" width="35.85546875" style="235" customWidth="1"/>
    <col min="17" max="17" width="24.5703125" style="331" customWidth="1"/>
    <col min="18" max="18" width="10.140625" style="52" bestFit="1" customWidth="1"/>
    <col min="19" max="19" width="10" style="52" bestFit="1" customWidth="1"/>
    <col min="20" max="20" width="11.42578125" style="52" bestFit="1" customWidth="1"/>
    <col min="21" max="16384" width="9.140625" style="52"/>
  </cols>
  <sheetData>
    <row r="1" spans="1:38" x14ac:dyDescent="0.25">
      <c r="A1" s="367" t="s">
        <v>391</v>
      </c>
    </row>
    <row r="3" spans="1:38" ht="33.75" x14ac:dyDescent="0.25">
      <c r="A3" s="240" t="s">
        <v>211</v>
      </c>
      <c r="B3" s="6" t="s">
        <v>212</v>
      </c>
      <c r="C3" s="240" t="s">
        <v>0</v>
      </c>
      <c r="D3" s="332" t="s">
        <v>981</v>
      </c>
      <c r="E3" s="333"/>
      <c r="F3" s="332" t="s">
        <v>982</v>
      </c>
      <c r="G3" s="333"/>
      <c r="H3" s="332" t="s">
        <v>983</v>
      </c>
      <c r="I3" s="333"/>
      <c r="J3" s="332" t="s">
        <v>984</v>
      </c>
      <c r="K3" s="333"/>
      <c r="L3" s="332" t="s">
        <v>978</v>
      </c>
      <c r="M3" s="332" t="s">
        <v>985</v>
      </c>
      <c r="N3" s="334"/>
      <c r="O3" s="356"/>
      <c r="P3" s="241" t="s">
        <v>780</v>
      </c>
      <c r="Q3" s="241" t="s">
        <v>729</v>
      </c>
    </row>
    <row r="4" spans="1:38" s="77" customFormat="1" x14ac:dyDescent="0.25">
      <c r="A4" s="368" t="s">
        <v>217</v>
      </c>
      <c r="B4" s="227"/>
      <c r="C4" s="371"/>
      <c r="D4" s="335">
        <f>'Tables 2'!AA24</f>
        <v>309.12999999999994</v>
      </c>
      <c r="E4" s="336"/>
      <c r="F4" s="335">
        <f>'Tables 2'!AA107</f>
        <v>794.88000000000011</v>
      </c>
      <c r="G4" s="336"/>
      <c r="H4" s="335">
        <f>'Tables 2'!AA130</f>
        <v>85.460000000000008</v>
      </c>
      <c r="I4" s="336"/>
      <c r="J4" s="335">
        <f>'Tables 2'!AA180</f>
        <v>348.09999999999997</v>
      </c>
      <c r="K4" s="336"/>
      <c r="L4" s="337"/>
      <c r="M4" s="337"/>
      <c r="N4" s="338"/>
      <c r="O4" s="473"/>
      <c r="P4" s="1"/>
      <c r="Q4" s="338"/>
      <c r="R4" s="75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6"/>
      <c r="AG4" s="76"/>
      <c r="AH4" s="76"/>
      <c r="AI4" s="76"/>
      <c r="AJ4" s="76"/>
      <c r="AK4" s="76"/>
      <c r="AL4" s="74"/>
    </row>
    <row r="5" spans="1:38" s="316" customFormat="1" ht="33.75" x14ac:dyDescent="0.25">
      <c r="A5" s="343" t="s">
        <v>392</v>
      </c>
      <c r="B5" s="315" t="s">
        <v>226</v>
      </c>
      <c r="C5" s="372" t="str">
        <f>'Table 4'!C6</f>
        <v>Rees Road: Coburns Road (PSP boundary) to East West Arterial (IT01) 
Construction of a 2-lane arterial road (interim layout). 
Purchase of land to increase reserve width from 20m to 34m (ultimate).</v>
      </c>
      <c r="D5" s="339">
        <f>M5*E5</f>
        <v>216553.04711330213</v>
      </c>
      <c r="E5" s="340">
        <f>D4/(F4+D4+H4+J4)</f>
        <v>0.2010510090597501</v>
      </c>
      <c r="F5" s="339">
        <f>M5*G5</f>
        <v>556832.67909753718</v>
      </c>
      <c r="G5" s="340">
        <f>F4/(D4+F4+H4+J4)</f>
        <v>0.51697158503352703</v>
      </c>
      <c r="H5" s="339">
        <f>M5*I5</f>
        <v>59866.798454704505</v>
      </c>
      <c r="I5" s="340">
        <f>H4/(D4+F4+H4+J4)</f>
        <v>5.5581209310795611E-2</v>
      </c>
      <c r="J5" s="339">
        <f>M5*K5</f>
        <v>243852.47533445631</v>
      </c>
      <c r="K5" s="340">
        <f>J4/(D4+F4+H4+J4)</f>
        <v>0.22639619659592733</v>
      </c>
      <c r="L5" s="339">
        <f>'Table 4'!F6</f>
        <v>1077105</v>
      </c>
      <c r="M5" s="339">
        <f>'Table 4'!I6</f>
        <v>1077105</v>
      </c>
      <c r="N5" s="341"/>
      <c r="O5" s="342"/>
      <c r="P5" s="343" t="str">
        <f>'Table 4'!O6</f>
        <v>Land partially acquired
Road constructed</v>
      </c>
      <c r="Q5" s="341"/>
    </row>
    <row r="6" spans="1:38" s="316" customFormat="1" ht="22.5" x14ac:dyDescent="0.25">
      <c r="A6" s="343" t="s">
        <v>393</v>
      </c>
      <c r="B6" s="315" t="s">
        <v>226</v>
      </c>
      <c r="C6" s="372" t="str">
        <f>'Table 4'!C7</f>
        <v>Rees Road: Coburns Road (PSP boundary) to East West Arterial (IT01)
Offset cost estimate associated with removal of scattered trees for RD01.</v>
      </c>
      <c r="D6" s="339">
        <f t="shared" ref="D6:D42" si="0">M6*E6</f>
        <v>3115.0160404689555</v>
      </c>
      <c r="E6" s="340">
        <v>0.20124142647903323</v>
      </c>
      <c r="F6" s="339">
        <f t="shared" ref="F6:F42" si="1">M6*G6</f>
        <v>8038.577095552414</v>
      </c>
      <c r="G6" s="340">
        <v>0.51932147396811257</v>
      </c>
      <c r="H6" s="339">
        <f t="shared" ref="H6:H42" si="2">M6*I6</f>
        <v>884.39728873489355</v>
      </c>
      <c r="I6" s="340">
        <v>5.7135298710181116E-2</v>
      </c>
      <c r="J6" s="339">
        <f t="shared" ref="J6:J39" si="3">M6*K6</f>
        <v>3441.0095752437364</v>
      </c>
      <c r="K6" s="340">
        <v>0.22230180084267306</v>
      </c>
      <c r="L6" s="339">
        <f>'Table 4'!F7</f>
        <v>15479</v>
      </c>
      <c r="M6" s="339">
        <f>'Table 4'!I7</f>
        <v>15479</v>
      </c>
      <c r="N6" s="341"/>
      <c r="O6" s="342"/>
      <c r="P6" s="343" t="str">
        <f>'Table 4'!O7</f>
        <v>Land partially acquired
Road constructed</v>
      </c>
      <c r="Q6" s="341"/>
    </row>
    <row r="7" spans="1:38" s="316" customFormat="1" ht="33.75" x14ac:dyDescent="0.25">
      <c r="A7" s="343" t="s">
        <v>394</v>
      </c>
      <c r="B7" s="315" t="s">
        <v>226</v>
      </c>
      <c r="C7" s="372" t="str">
        <f>'Table 4'!C8</f>
        <v xml:space="preserve">East West Arterial: Rees Road (IT01) to Exford Road (IT02)
Construction of a 2-lane arterial road (interim standard) 
Purchase of land to increase reserve width from 0m to 34m (ultimate). </v>
      </c>
      <c r="D7" s="339">
        <f t="shared" si="0"/>
        <v>1226939.7972358263</v>
      </c>
      <c r="E7" s="340">
        <v>0.20124142647903323</v>
      </c>
      <c r="F7" s="339">
        <f t="shared" si="1"/>
        <v>3166227.725169857</v>
      </c>
      <c r="G7" s="340">
        <v>0.51932147396811257</v>
      </c>
      <c r="H7" s="339">
        <f t="shared" si="2"/>
        <v>348345.63161766127</v>
      </c>
      <c r="I7" s="340">
        <v>5.7135298710181116E-2</v>
      </c>
      <c r="J7" s="339">
        <f t="shared" si="3"/>
        <v>1355341.8459766554</v>
      </c>
      <c r="K7" s="340">
        <v>0.22230180084267306</v>
      </c>
      <c r="L7" s="339">
        <f>'Table 4'!F8</f>
        <v>6096855</v>
      </c>
      <c r="M7" s="339">
        <f>'Table 4'!I8</f>
        <v>6096855</v>
      </c>
      <c r="N7" s="341"/>
      <c r="O7" s="342"/>
      <c r="P7" s="343" t="str">
        <f>'Table 4'!O8</f>
        <v>Land acquired</v>
      </c>
      <c r="Q7" s="341"/>
    </row>
    <row r="8" spans="1:38" s="316" customFormat="1" ht="33.75" x14ac:dyDescent="0.25">
      <c r="A8" s="343" t="s">
        <v>225</v>
      </c>
      <c r="B8" s="315" t="s">
        <v>226</v>
      </c>
      <c r="C8" s="372" t="str">
        <f>'Table 4'!C9</f>
        <v xml:space="preserve">Exford Road: East West Arterial (IT02) to Exford Road (IT03)
Re-construct existing 2-lane road to provide 2-lane arterial road (interim layout). 
Purchase land to increase reserve width from 20m to 34m (ultimate). </v>
      </c>
      <c r="D8" s="339">
        <f t="shared" si="0"/>
        <v>514170.23472251807</v>
      </c>
      <c r="E8" s="340">
        <v>0.20124142647903323</v>
      </c>
      <c r="F8" s="339">
        <f t="shared" si="1"/>
        <v>1326862.2114167358</v>
      </c>
      <c r="G8" s="340">
        <v>0.51932147396811257</v>
      </c>
      <c r="H8" s="339">
        <f t="shared" si="2"/>
        <v>145980.23112212308</v>
      </c>
      <c r="I8" s="340">
        <v>5.7135298710181116E-2</v>
      </c>
      <c r="J8" s="339">
        <f t="shared" si="3"/>
        <v>567979.3227386229</v>
      </c>
      <c r="K8" s="340">
        <v>0.22230180084267306</v>
      </c>
      <c r="L8" s="339">
        <f>'Table 4'!F9</f>
        <v>2554992</v>
      </c>
      <c r="M8" s="339">
        <f>'Table 4'!I9</f>
        <v>2554992</v>
      </c>
      <c r="N8" s="341"/>
      <c r="O8" s="342"/>
      <c r="P8" s="343" t="str">
        <f>'Table 4'!O9</f>
        <v>Land partially acquired
Road partially constructed</v>
      </c>
      <c r="Q8" s="341"/>
    </row>
    <row r="9" spans="1:38" s="316" customFormat="1" ht="22.5" x14ac:dyDescent="0.25">
      <c r="A9" s="343" t="s">
        <v>230</v>
      </c>
      <c r="B9" s="315" t="s">
        <v>226</v>
      </c>
      <c r="C9" s="372" t="str">
        <f>'Table 4'!C10</f>
        <v xml:space="preserve">Exford Road: East West Arterial (IT02) to Toolern Road (IT03)
Offset cost estimate associated with removal of scattered trees for RD03. </v>
      </c>
      <c r="D9" s="339">
        <f t="shared" si="0"/>
        <v>1597.4544433905658</v>
      </c>
      <c r="E9" s="340">
        <v>0.20124142647903323</v>
      </c>
      <c r="F9" s="339">
        <f t="shared" si="1"/>
        <v>4122.3738603588772</v>
      </c>
      <c r="G9" s="340">
        <v>0.51932147396811257</v>
      </c>
      <c r="H9" s="339">
        <f t="shared" si="2"/>
        <v>453.54000116141771</v>
      </c>
      <c r="I9" s="340">
        <v>5.7135298710181116E-2</v>
      </c>
      <c r="J9" s="339">
        <f t="shared" si="3"/>
        <v>1764.6316950891387</v>
      </c>
      <c r="K9" s="340">
        <v>0.22230180084267306</v>
      </c>
      <c r="L9" s="339">
        <f>'Table 4'!F10</f>
        <v>7938</v>
      </c>
      <c r="M9" s="339">
        <f>'Table 4'!I10</f>
        <v>7938</v>
      </c>
      <c r="N9" s="341"/>
      <c r="O9" s="342"/>
      <c r="P9" s="343" t="str">
        <f>'Table 4'!O10</f>
        <v>Land partially acquired
Road partially constructed</v>
      </c>
      <c r="Q9" s="341"/>
    </row>
    <row r="10" spans="1:38" s="316" customFormat="1" ht="33.75" x14ac:dyDescent="0.25">
      <c r="A10" s="343" t="s">
        <v>231</v>
      </c>
      <c r="B10" s="315" t="s">
        <v>226</v>
      </c>
      <c r="C10" s="372" t="str">
        <f>'Table 4'!C11</f>
        <v xml:space="preserve">Exford Road: Exford Road (IT03) to Greigs Road (IT04)
Construction of a 2-lane arterial road (interim layout). 
Purchase land to increase reserve width from 20m to 34m (ultimate).  </v>
      </c>
      <c r="D10" s="339">
        <f t="shared" si="0"/>
        <v>3116737.459631057</v>
      </c>
      <c r="E10" s="340">
        <v>0.20124142647903323</v>
      </c>
      <c r="F10" s="339">
        <f t="shared" si="1"/>
        <v>8043019.3714407375</v>
      </c>
      <c r="G10" s="340">
        <v>0.51932147396811257</v>
      </c>
      <c r="H10" s="339">
        <f t="shared" si="2"/>
        <v>884886.02408006042</v>
      </c>
      <c r="I10" s="340">
        <v>5.7135298710181116E-2</v>
      </c>
      <c r="J10" s="339">
        <f t="shared" si="3"/>
        <v>3442911.1448481446</v>
      </c>
      <c r="K10" s="340">
        <v>0.22230180084267306</v>
      </c>
      <c r="L10" s="339">
        <f>'Table 4'!F11</f>
        <v>15487554</v>
      </c>
      <c r="M10" s="339">
        <f>'Table 4'!I11</f>
        <v>15487554</v>
      </c>
      <c r="N10" s="341"/>
      <c r="O10" s="342"/>
      <c r="P10" s="343" t="str">
        <f>'Table 4'!O11</f>
        <v>Land partially acquired
Road partially constructed</v>
      </c>
      <c r="Q10" s="341"/>
    </row>
    <row r="11" spans="1:38" s="316" customFormat="1" ht="22.5" x14ac:dyDescent="0.25">
      <c r="A11" s="343" t="s">
        <v>232</v>
      </c>
      <c r="B11" s="315" t="s">
        <v>226</v>
      </c>
      <c r="C11" s="372" t="str">
        <f>'Table 4'!C12</f>
        <v xml:space="preserve">Exford Road: Toolern Road (IT03) to Greigs Road (IT04)
Offset cost estimate associated with removal of scattered trees for RD04. </v>
      </c>
      <c r="D11" s="339">
        <f t="shared" si="0"/>
        <v>19488.420981656058</v>
      </c>
      <c r="E11" s="340">
        <v>0.20124142647903323</v>
      </c>
      <c r="F11" s="339">
        <f t="shared" si="1"/>
        <v>50291.610860545989</v>
      </c>
      <c r="G11" s="340">
        <v>0.51932147396811257</v>
      </c>
      <c r="H11" s="339">
        <f t="shared" si="2"/>
        <v>5533.0394623926495</v>
      </c>
      <c r="I11" s="340">
        <v>5.7135298710181116E-2</v>
      </c>
      <c r="J11" s="339">
        <f t="shared" si="3"/>
        <v>21527.928695405302</v>
      </c>
      <c r="K11" s="340">
        <v>0.22230180084267306</v>
      </c>
      <c r="L11" s="339">
        <f>'Table 4'!F12</f>
        <v>96841</v>
      </c>
      <c r="M11" s="339">
        <f>'Table 4'!I12</f>
        <v>96841</v>
      </c>
      <c r="N11" s="341"/>
      <c r="O11" s="342"/>
      <c r="P11" s="343" t="str">
        <f>'Table 4'!O12</f>
        <v>Land partially acquired
Road partially constructed</v>
      </c>
      <c r="Q11" s="341"/>
    </row>
    <row r="12" spans="1:38" s="316" customFormat="1" ht="33.75" x14ac:dyDescent="0.25">
      <c r="A12" s="343" t="s">
        <v>233</v>
      </c>
      <c r="B12" s="315" t="s">
        <v>226</v>
      </c>
      <c r="C12" s="372" t="str">
        <f>'Table 4'!C13</f>
        <v xml:space="preserve">Exford Road: Exford Road (IT03) to Toolern Creek (BD03)
Construction of a 2-lane arterial road (interim layout). 
Purchase land to increase reserve width from 0m to 34m (ultimate). </v>
      </c>
      <c r="D12" s="339">
        <f t="shared" si="0"/>
        <v>344977.06888626504</v>
      </c>
      <c r="E12" s="340">
        <v>0.20124142647903323</v>
      </c>
      <c r="F12" s="339">
        <f t="shared" si="1"/>
        <v>890244.13627817237</v>
      </c>
      <c r="G12" s="340">
        <v>0.51932147396811257</v>
      </c>
      <c r="H12" s="339">
        <f t="shared" si="2"/>
        <v>97943.888710374682</v>
      </c>
      <c r="I12" s="340">
        <v>5.7135298710181116E-2</v>
      </c>
      <c r="J12" s="339">
        <f t="shared" si="3"/>
        <v>381079.70612518792</v>
      </c>
      <c r="K12" s="340">
        <v>0.22230180084267306</v>
      </c>
      <c r="L12" s="339">
        <f>'Table 4'!F13</f>
        <v>1714244.8</v>
      </c>
      <c r="M12" s="339">
        <f>'Table 4'!I13</f>
        <v>1714244.8</v>
      </c>
      <c r="N12" s="341"/>
      <c r="O12" s="342"/>
      <c r="P12" s="343" t="str">
        <f>'Table 4'!O13</f>
        <v>Land partially acquired</v>
      </c>
      <c r="Q12" s="341"/>
    </row>
    <row r="13" spans="1:38" s="316" customFormat="1" ht="22.5" x14ac:dyDescent="0.25">
      <c r="A13" s="343" t="s">
        <v>234</v>
      </c>
      <c r="B13" s="315" t="s">
        <v>226</v>
      </c>
      <c r="C13" s="372" t="str">
        <f>'Table 4'!C14</f>
        <v xml:space="preserve">Exford Road: Exford Road (IT03) to Toolern Creek (BD03)
Offset cost estimate associated with removal of EVC for RD05. </v>
      </c>
      <c r="D13" s="339">
        <f t="shared" si="0"/>
        <v>29040.747772336326</v>
      </c>
      <c r="E13" s="340">
        <v>0.20124142647903323</v>
      </c>
      <c r="F13" s="339">
        <f t="shared" si="1"/>
        <v>74942.243265390382</v>
      </c>
      <c r="G13" s="340">
        <v>0.51932147396811257</v>
      </c>
      <c r="H13" s="339">
        <f t="shared" si="2"/>
        <v>8245.0806862688169</v>
      </c>
      <c r="I13" s="340">
        <v>5.7135298710181116E-2</v>
      </c>
      <c r="J13" s="339">
        <f t="shared" si="3"/>
        <v>32079.928276004466</v>
      </c>
      <c r="K13" s="340">
        <v>0.22230180084267306</v>
      </c>
      <c r="L13" s="339">
        <f>'Table 4'!F14</f>
        <v>144308</v>
      </c>
      <c r="M13" s="339">
        <f>'Table 4'!I14</f>
        <v>144308</v>
      </c>
      <c r="N13" s="341"/>
      <c r="O13" s="342"/>
      <c r="P13" s="343" t="str">
        <f>'Table 4'!O14</f>
        <v>Land partially acquired</v>
      </c>
      <c r="Q13" s="341"/>
    </row>
    <row r="14" spans="1:38" s="316" customFormat="1" ht="33.75" x14ac:dyDescent="0.25">
      <c r="A14" s="343" t="s">
        <v>235</v>
      </c>
      <c r="B14" s="315" t="s">
        <v>226</v>
      </c>
      <c r="C14" s="372" t="str">
        <f>'Table 4'!C15</f>
        <v xml:space="preserve">Exford Road: Toolern Creek (BD03) to Ferris Road (IT05)
Construction of a 2-lane arterial road (interim layout). 
Create road reserve 34m (ultimate).  </v>
      </c>
      <c r="D14" s="339">
        <f t="shared" si="0"/>
        <v>1585135.8519515048</v>
      </c>
      <c r="E14" s="340">
        <v>0.20124142647903323</v>
      </c>
      <c r="F14" s="339">
        <f t="shared" si="1"/>
        <v>4090584.6349728676</v>
      </c>
      <c r="G14" s="340">
        <v>0.51932147396811257</v>
      </c>
      <c r="H14" s="339">
        <f t="shared" si="2"/>
        <v>450042.57812147139</v>
      </c>
      <c r="I14" s="340">
        <v>5.7135298710181116E-2</v>
      </c>
      <c r="J14" s="339">
        <f t="shared" si="3"/>
        <v>1751023.9349541562</v>
      </c>
      <c r="K14" s="340">
        <v>0.22230180084267306</v>
      </c>
      <c r="L14" s="339">
        <f>'Table 4'!F15</f>
        <v>7876787</v>
      </c>
      <c r="M14" s="339">
        <f>'Table 4'!I15</f>
        <v>7876787</v>
      </c>
      <c r="N14" s="341"/>
      <c r="O14" s="342"/>
      <c r="P14" s="343" t="str">
        <f>'Table 4'!O15</f>
        <v>Not commenced</v>
      </c>
      <c r="Q14" s="341"/>
    </row>
    <row r="15" spans="1:38" s="316" customFormat="1" ht="22.5" x14ac:dyDescent="0.25">
      <c r="A15" s="343" t="s">
        <v>236</v>
      </c>
      <c r="B15" s="315" t="s">
        <v>226</v>
      </c>
      <c r="C15" s="372" t="str">
        <f>'Table 4'!C16</f>
        <v xml:space="preserve">Exford Road: Toolern Creek (BD03) to Ferris Road (IT05)
Offset cost estimate associated with removal of scattered trees for RD06. </v>
      </c>
      <c r="D15" s="339">
        <f t="shared" si="0"/>
        <v>638.94152907093053</v>
      </c>
      <c r="E15" s="340">
        <v>0.20124142647903323</v>
      </c>
      <c r="F15" s="339">
        <f t="shared" si="1"/>
        <v>1648.8456798487573</v>
      </c>
      <c r="G15" s="340">
        <v>0.51932147396811257</v>
      </c>
      <c r="H15" s="339">
        <f t="shared" si="2"/>
        <v>181.40457340482504</v>
      </c>
      <c r="I15" s="340">
        <v>5.7135298710181116E-2</v>
      </c>
      <c r="J15" s="339">
        <f t="shared" si="3"/>
        <v>705.80821767548696</v>
      </c>
      <c r="K15" s="340">
        <v>0.22230180084267306</v>
      </c>
      <c r="L15" s="339">
        <f>'Table 4'!F16</f>
        <v>3175</v>
      </c>
      <c r="M15" s="339">
        <f>'Table 4'!I16</f>
        <v>3175</v>
      </c>
      <c r="N15" s="341"/>
      <c r="O15" s="342"/>
      <c r="P15" s="343" t="str">
        <f>'Table 4'!O16</f>
        <v>Not commenced</v>
      </c>
      <c r="Q15" s="341"/>
    </row>
    <row r="16" spans="1:38" s="316" customFormat="1" ht="33.75" x14ac:dyDescent="0.25">
      <c r="A16" s="343" t="s">
        <v>237</v>
      </c>
      <c r="B16" s="315" t="s">
        <v>226</v>
      </c>
      <c r="C16" s="372" t="str">
        <f>'Table 4'!C17</f>
        <v xml:space="preserve">Exford Road: Ferris Road (IT05) to Mount Cottrell Road (IT06) 
Construction of a 2-lane arterial road. (interim layout).
Purchase land to increase reserve width from 0m to 34m (ultimate). </v>
      </c>
      <c r="D16" s="339">
        <f t="shared" si="0"/>
        <v>1769031.4749166041</v>
      </c>
      <c r="E16" s="340">
        <v>0.20124142647903323</v>
      </c>
      <c r="F16" s="339">
        <f t="shared" si="1"/>
        <v>4565143.7138137724</v>
      </c>
      <c r="G16" s="340">
        <v>0.51932147396811257</v>
      </c>
      <c r="H16" s="339">
        <f t="shared" si="2"/>
        <v>502253.15689462714</v>
      </c>
      <c r="I16" s="340">
        <v>5.7135298710181116E-2</v>
      </c>
      <c r="J16" s="339">
        <f t="shared" si="3"/>
        <v>1954164.654374996</v>
      </c>
      <c r="K16" s="340">
        <v>0.22230180084267306</v>
      </c>
      <c r="L16" s="339">
        <f>'Table 4'!F17</f>
        <v>8790593</v>
      </c>
      <c r="M16" s="339">
        <f>'Table 4'!I17</f>
        <v>8790593</v>
      </c>
      <c r="N16" s="341"/>
      <c r="O16" s="342"/>
      <c r="P16" s="343" t="str">
        <f>'Table 4'!O17</f>
        <v>Not commenced</v>
      </c>
      <c r="Q16" s="341"/>
    </row>
    <row r="17" spans="1:17" s="316" customFormat="1" ht="22.5" x14ac:dyDescent="0.25">
      <c r="A17" s="343" t="s">
        <v>238</v>
      </c>
      <c r="B17" s="315" t="s">
        <v>226</v>
      </c>
      <c r="C17" s="372" t="str">
        <f>'Table 4'!C18</f>
        <v xml:space="preserve">Exford Road: Ferris Road (IT05) to Mount Cottrell Road (IT06) 
Offset cost estimate associated with removal of EVC for RD07. </v>
      </c>
      <c r="D17" s="339">
        <f t="shared" si="0"/>
        <v>5111.7334739939233</v>
      </c>
      <c r="E17" s="340">
        <v>0.20124142647903323</v>
      </c>
      <c r="F17" s="339">
        <f t="shared" si="1"/>
        <v>13191.284760264027</v>
      </c>
      <c r="G17" s="340">
        <v>0.51932147396811257</v>
      </c>
      <c r="H17" s="339">
        <f t="shared" si="2"/>
        <v>1451.2937225373105</v>
      </c>
      <c r="I17" s="340">
        <v>5.7135298710181116E-2</v>
      </c>
      <c r="J17" s="339">
        <f t="shared" si="3"/>
        <v>5646.6880432047383</v>
      </c>
      <c r="K17" s="340">
        <v>0.22230180084267306</v>
      </c>
      <c r="L17" s="339">
        <f>'Table 4'!F18</f>
        <v>25401</v>
      </c>
      <c r="M17" s="339">
        <f>'Table 4'!I18</f>
        <v>25401</v>
      </c>
      <c r="N17" s="341"/>
      <c r="O17" s="342"/>
      <c r="P17" s="343" t="str">
        <f>'Table 4'!O18</f>
        <v>Not commenced</v>
      </c>
      <c r="Q17" s="341"/>
    </row>
    <row r="18" spans="1:17" s="316" customFormat="1" ht="33.75" x14ac:dyDescent="0.25">
      <c r="A18" s="343" t="s">
        <v>239</v>
      </c>
      <c r="B18" s="315" t="s">
        <v>226</v>
      </c>
      <c r="C18" s="372" t="str">
        <f>'Table 4'!C19</f>
        <v xml:space="preserve">Exford Road: Mount Cottrell Road (IT06) to Paynes Road (IT07)
Construction of a 2-lane arterial road (interim layout). 
Purchase land to increase reserve width to 0m to 45m (ultimate).  </v>
      </c>
      <c r="D18" s="339">
        <f t="shared" si="0"/>
        <v>2473229.5613518907</v>
      </c>
      <c r="E18" s="340">
        <v>0.20124142647903323</v>
      </c>
      <c r="F18" s="339">
        <f t="shared" si="1"/>
        <v>6382389.7680261694</v>
      </c>
      <c r="G18" s="340">
        <v>0.51932147396811257</v>
      </c>
      <c r="H18" s="339">
        <f t="shared" si="2"/>
        <v>702184.99361220258</v>
      </c>
      <c r="I18" s="340">
        <v>5.7135298710181116E-2</v>
      </c>
      <c r="J18" s="339">
        <f t="shared" si="3"/>
        <v>2732058.6770097367</v>
      </c>
      <c r="K18" s="340">
        <v>0.22230180084267306</v>
      </c>
      <c r="L18" s="339">
        <f>'Table 4'!F19</f>
        <v>12289863</v>
      </c>
      <c r="M18" s="339">
        <f>'Table 4'!I19</f>
        <v>12289863</v>
      </c>
      <c r="N18" s="341"/>
      <c r="O18" s="342"/>
      <c r="P18" s="343" t="str">
        <f>'Table 4'!O19</f>
        <v>Not commenced</v>
      </c>
      <c r="Q18" s="341"/>
    </row>
    <row r="19" spans="1:17" s="316" customFormat="1" ht="22.5" x14ac:dyDescent="0.25">
      <c r="A19" s="343" t="s">
        <v>240</v>
      </c>
      <c r="B19" s="315" t="s">
        <v>226</v>
      </c>
      <c r="C19" s="372" t="str">
        <f>'Table 4'!C20</f>
        <v xml:space="preserve">Exford Road: Mount Cottrell Road (IT06) to Paynes Road (IT07)
Offset cost estimate associated with removal of EVC for RD08. </v>
      </c>
      <c r="D19" s="339">
        <f t="shared" si="0"/>
        <v>14712.156965602682</v>
      </c>
      <c r="E19" s="340">
        <v>0.20124142647903323</v>
      </c>
      <c r="F19" s="339">
        <f t="shared" si="1"/>
        <v>37966.034997386807</v>
      </c>
      <c r="G19" s="340">
        <v>0.51932147396811257</v>
      </c>
      <c r="H19" s="339">
        <f t="shared" si="2"/>
        <v>4176.9902828052109</v>
      </c>
      <c r="I19" s="340">
        <v>5.7135298710181116E-2</v>
      </c>
      <c r="J19" s="339">
        <f t="shared" si="3"/>
        <v>16251.8177542053</v>
      </c>
      <c r="K19" s="340">
        <v>0.22230180084267306</v>
      </c>
      <c r="L19" s="339">
        <f>'Table 4'!F20</f>
        <v>73107</v>
      </c>
      <c r="M19" s="339">
        <f>'Table 4'!I20</f>
        <v>73107</v>
      </c>
      <c r="N19" s="341"/>
      <c r="O19" s="342"/>
      <c r="P19" s="343" t="str">
        <f>'Table 4'!O20</f>
        <v>Not commenced</v>
      </c>
      <c r="Q19" s="341"/>
    </row>
    <row r="20" spans="1:17" s="316" customFormat="1" ht="22.5" x14ac:dyDescent="0.25">
      <c r="A20" s="343" t="s">
        <v>241</v>
      </c>
      <c r="B20" s="315" t="s">
        <v>226</v>
      </c>
      <c r="C20" s="372" t="str">
        <f>'Table 4'!C21</f>
        <v>Removed</v>
      </c>
      <c r="D20" s="339">
        <f t="shared" si="0"/>
        <v>0</v>
      </c>
      <c r="E20" s="340">
        <v>0.20124142647903323</v>
      </c>
      <c r="F20" s="339">
        <f t="shared" si="1"/>
        <v>0</v>
      </c>
      <c r="G20" s="340">
        <v>0.51932147396811257</v>
      </c>
      <c r="H20" s="339">
        <f t="shared" si="2"/>
        <v>0</v>
      </c>
      <c r="I20" s="340">
        <v>5.7135298710181116E-2</v>
      </c>
      <c r="J20" s="339">
        <f t="shared" si="3"/>
        <v>0</v>
      </c>
      <c r="K20" s="340">
        <v>0.22230180084267306</v>
      </c>
      <c r="L20" s="339">
        <f>'Table 4'!F21</f>
        <v>0</v>
      </c>
      <c r="M20" s="339">
        <f>'Table 4'!I21</f>
        <v>0</v>
      </c>
      <c r="N20" s="341"/>
      <c r="O20" s="342"/>
      <c r="P20" s="343" t="str">
        <f>'Table 4'!O21</f>
        <v>Project deleted as it is located in the Rockbank South PSP area</v>
      </c>
      <c r="Q20" s="341"/>
    </row>
    <row r="21" spans="1:17" s="316" customFormat="1" ht="22.5" x14ac:dyDescent="0.25">
      <c r="A21" s="343" t="s">
        <v>395</v>
      </c>
      <c r="B21" s="315" t="s">
        <v>226</v>
      </c>
      <c r="C21" s="372" t="str">
        <f>'Table 4'!C22</f>
        <v>Removed</v>
      </c>
      <c r="D21" s="339">
        <f t="shared" si="0"/>
        <v>0</v>
      </c>
      <c r="E21" s="340">
        <v>0.20124142647903323</v>
      </c>
      <c r="F21" s="339">
        <f t="shared" si="1"/>
        <v>0</v>
      </c>
      <c r="G21" s="340">
        <v>0.51932147396811257</v>
      </c>
      <c r="H21" s="339">
        <f t="shared" si="2"/>
        <v>0</v>
      </c>
      <c r="I21" s="340">
        <v>5.7135298710181116E-2</v>
      </c>
      <c r="J21" s="339">
        <f t="shared" si="3"/>
        <v>0</v>
      </c>
      <c r="K21" s="340">
        <v>0.22230180084267306</v>
      </c>
      <c r="L21" s="339">
        <f>'Table 4'!F22</f>
        <v>0</v>
      </c>
      <c r="M21" s="339">
        <f>'Table 4'!I22</f>
        <v>0</v>
      </c>
      <c r="N21" s="341"/>
      <c r="O21" s="342"/>
      <c r="P21" s="343" t="str">
        <f>'Table 4'!O22</f>
        <v>Project deleted as it is located in the Rockbank South PSP area</v>
      </c>
      <c r="Q21" s="341"/>
    </row>
    <row r="22" spans="1:17" s="316" customFormat="1" ht="33.75" x14ac:dyDescent="0.25">
      <c r="A22" s="343" t="s">
        <v>396</v>
      </c>
      <c r="B22" s="315" t="s">
        <v>226</v>
      </c>
      <c r="C22" s="372" t="str">
        <f>'Table 4'!C23</f>
        <v xml:space="preserve">Mount Cottrell Road: Melbourne Ballarat Rail Line to PSP southern boundary
Construction of a 2-lane arterial road (interim layout).
Purchase land (including native vegetation re-alignment) to increase reserve width from 20m to 41m (ultimate).  </v>
      </c>
      <c r="D22" s="339">
        <f t="shared" si="0"/>
        <v>2275106.3707761504</v>
      </c>
      <c r="E22" s="340">
        <v>0.20124142647903323</v>
      </c>
      <c r="F22" s="339">
        <f t="shared" si="1"/>
        <v>5871115.1802971931</v>
      </c>
      <c r="G22" s="340">
        <v>0.51932147396811257</v>
      </c>
      <c r="H22" s="339">
        <f t="shared" si="2"/>
        <v>645935.00635553582</v>
      </c>
      <c r="I22" s="340">
        <v>5.7135298710181116E-2</v>
      </c>
      <c r="J22" s="339">
        <f t="shared" si="3"/>
        <v>2513201.4425711208</v>
      </c>
      <c r="K22" s="340">
        <v>0.22230180084267306</v>
      </c>
      <c r="L22" s="339">
        <f>'Table 4'!F23</f>
        <v>11305358</v>
      </c>
      <c r="M22" s="339">
        <f>'Table 4'!I23</f>
        <v>11305358</v>
      </c>
      <c r="N22" s="341"/>
      <c r="O22" s="342"/>
      <c r="P22" s="343" t="str">
        <f>'Table 4'!O23</f>
        <v>Land partially acquired
Road partially constructed (north of IT26)</v>
      </c>
      <c r="Q22" s="341"/>
    </row>
    <row r="23" spans="1:17" s="316" customFormat="1" ht="22.5" x14ac:dyDescent="0.25">
      <c r="A23" s="343" t="s">
        <v>244</v>
      </c>
      <c r="B23" s="315" t="s">
        <v>226</v>
      </c>
      <c r="C23" s="372" t="str">
        <f>'Table 4'!C24</f>
        <v xml:space="preserve">Mount Cottrell Road: Melbourne Ballarat Rail Line to PSP southern  boundary
Offset cost estimate associated with removal of scattered trees for RD11. </v>
      </c>
      <c r="D23" s="339">
        <f t="shared" si="0"/>
        <v>3634.0176793583819</v>
      </c>
      <c r="E23" s="340">
        <v>0.20124142647903323</v>
      </c>
      <c r="F23" s="339">
        <f t="shared" si="1"/>
        <v>9377.9071769161765</v>
      </c>
      <c r="G23" s="340">
        <v>0.51932147396811257</v>
      </c>
      <c r="H23" s="339">
        <f t="shared" si="2"/>
        <v>1031.7492241084506</v>
      </c>
      <c r="I23" s="340">
        <v>5.7135298710181116E-2</v>
      </c>
      <c r="J23" s="339">
        <f t="shared" si="3"/>
        <v>4014.3259196169902</v>
      </c>
      <c r="K23" s="340">
        <v>0.22230180084267306</v>
      </c>
      <c r="L23" s="339">
        <f>'Table 4'!F24</f>
        <v>18058</v>
      </c>
      <c r="M23" s="339">
        <f>'Table 4'!I24</f>
        <v>18058</v>
      </c>
      <c r="N23" s="341"/>
      <c r="O23" s="342"/>
      <c r="P23" s="343" t="str">
        <f>'Table 4'!O24</f>
        <v>Land partially acquired
Road partially constructed (north of IT26)</v>
      </c>
      <c r="Q23" s="341"/>
    </row>
    <row r="24" spans="1:17" s="316" customFormat="1" ht="22.5" x14ac:dyDescent="0.25">
      <c r="A24" s="343" t="s">
        <v>245</v>
      </c>
      <c r="B24" s="315" t="s">
        <v>226</v>
      </c>
      <c r="C24" s="372" t="str">
        <f>'Table 4'!C25</f>
        <v xml:space="preserve">Mount Cottrell Road: Melbourne Ballarat Rail Line to PSP southern  boundary
Offset cost estimate associated with removal of EVC for RD11. </v>
      </c>
      <c r="D24" s="339">
        <f t="shared" si="0"/>
        <v>1054.303833323655</v>
      </c>
      <c r="E24" s="340">
        <v>0.20124142647903323</v>
      </c>
      <c r="F24" s="339">
        <f t="shared" si="1"/>
        <v>2720.7252021189415</v>
      </c>
      <c r="G24" s="340">
        <v>0.51932147396811257</v>
      </c>
      <c r="H24" s="339">
        <f t="shared" si="2"/>
        <v>299.33182994263888</v>
      </c>
      <c r="I24" s="340">
        <v>5.7135298710181116E-2</v>
      </c>
      <c r="J24" s="339">
        <f t="shared" si="3"/>
        <v>1164.6391346147641</v>
      </c>
      <c r="K24" s="340">
        <v>0.22230180084267306</v>
      </c>
      <c r="L24" s="339">
        <f>'Table 4'!F25</f>
        <v>5239</v>
      </c>
      <c r="M24" s="339">
        <f>'Table 4'!I25</f>
        <v>5239</v>
      </c>
      <c r="N24" s="341"/>
      <c r="O24" s="342"/>
      <c r="P24" s="343" t="str">
        <f>'Table 4'!O25</f>
        <v>Land partially acquired
Road partially constructed (north of IT26)</v>
      </c>
      <c r="Q24" s="341"/>
    </row>
    <row r="25" spans="1:17" s="316" customFormat="1" ht="33.75" x14ac:dyDescent="0.25">
      <c r="A25" s="343" t="s">
        <v>397</v>
      </c>
      <c r="B25" s="315" t="s">
        <v>226</v>
      </c>
      <c r="C25" s="372" t="str">
        <f>'Table 4'!C26</f>
        <v xml:space="preserve">Mount Cottrell Road: Western Freeway to Melbourne Ballarat Rail Line
Construction of a 2-lane arterial road (interim layout).
Purchase land (including native vegetation re-alignment) to increase reserve width from 20m to 41m (ultimate). </v>
      </c>
      <c r="D25" s="339">
        <f t="shared" si="0"/>
        <v>887297.55404412106</v>
      </c>
      <c r="E25" s="340">
        <v>0.20124142647903323</v>
      </c>
      <c r="F25" s="339">
        <f t="shared" si="1"/>
        <v>2289750.58305156</v>
      </c>
      <c r="G25" s="340">
        <v>0.51932147396811257</v>
      </c>
      <c r="H25" s="339">
        <f t="shared" si="2"/>
        <v>251916.37567926801</v>
      </c>
      <c r="I25" s="340">
        <v>5.7135298710181116E-2</v>
      </c>
      <c r="J25" s="339">
        <f t="shared" si="3"/>
        <v>980155.26722505037</v>
      </c>
      <c r="K25" s="340">
        <v>0.22230180084267306</v>
      </c>
      <c r="L25" s="339">
        <f>'Table 4'!F26</f>
        <v>8368239.5599999996</v>
      </c>
      <c r="M25" s="339">
        <f>'Table 4'!I26</f>
        <v>4409119.7799999993</v>
      </c>
      <c r="N25" s="341"/>
      <c r="O25" s="342"/>
      <c r="P25" s="343" t="str">
        <f>'Table 4'!O26</f>
        <v>Constructed</v>
      </c>
      <c r="Q25" s="341"/>
    </row>
    <row r="26" spans="1:17" s="316" customFormat="1" x14ac:dyDescent="0.25">
      <c r="A26" s="343" t="s">
        <v>727</v>
      </c>
      <c r="B26" s="315"/>
      <c r="C26" s="372" t="str">
        <f>'Table 4'!C27</f>
        <v>Skipped Project - There is no RD13 in the Toolern DCP</v>
      </c>
      <c r="D26" s="339"/>
      <c r="E26" s="340"/>
      <c r="F26" s="339"/>
      <c r="G26" s="340"/>
      <c r="H26" s="339"/>
      <c r="I26" s="340"/>
      <c r="J26" s="339"/>
      <c r="K26" s="340"/>
      <c r="L26" s="339"/>
      <c r="M26" s="339"/>
      <c r="N26" s="341"/>
      <c r="O26" s="342"/>
      <c r="P26" s="343" t="str">
        <f>'Table 4'!O27</f>
        <v>This project was skipped in the Toolern DCP</v>
      </c>
      <c r="Q26" s="341"/>
    </row>
    <row r="27" spans="1:17" s="316" customFormat="1" ht="33.75" x14ac:dyDescent="0.25">
      <c r="A27" s="343" t="s">
        <v>398</v>
      </c>
      <c r="B27" s="315" t="s">
        <v>226</v>
      </c>
      <c r="C27" s="372" t="str">
        <f>'Table 4'!C28</f>
        <v xml:space="preserve">Shogaki Drive: Ferris Road (IT13) to Industrial Connector Road (IT12)
Construction of a 2-lane arterial road (interim layout). 
Purchase land to increase reserve width from 40m to 45m (ultimate). </v>
      </c>
      <c r="D27" s="339">
        <f t="shared" si="0"/>
        <v>1075865.2422394718</v>
      </c>
      <c r="E27" s="340">
        <v>0.20124142647903323</v>
      </c>
      <c r="F27" s="339">
        <f t="shared" si="1"/>
        <v>2776366.3434828334</v>
      </c>
      <c r="G27" s="340">
        <v>0.51932147396811257</v>
      </c>
      <c r="H27" s="339">
        <f t="shared" si="2"/>
        <v>305453.42011704511</v>
      </c>
      <c r="I27" s="340">
        <v>5.7135298710181116E-2</v>
      </c>
      <c r="J27" s="339">
        <f t="shared" si="3"/>
        <v>1188456.9941606498</v>
      </c>
      <c r="K27" s="340">
        <v>0.22230180084267306</v>
      </c>
      <c r="L27" s="339">
        <f>'Table 4'!F28</f>
        <v>5346142</v>
      </c>
      <c r="M27" s="339">
        <f>'Table 4'!I28</f>
        <v>5346142</v>
      </c>
      <c r="N27" s="341"/>
      <c r="O27" s="342"/>
      <c r="P27" s="343" t="str">
        <f>'Table 4'!O28</f>
        <v>Not commenced</v>
      </c>
      <c r="Q27" s="341"/>
    </row>
    <row r="28" spans="1:17" s="316" customFormat="1" ht="45" x14ac:dyDescent="0.25">
      <c r="A28" s="343" t="s">
        <v>399</v>
      </c>
      <c r="B28" s="315" t="s">
        <v>226</v>
      </c>
      <c r="C28" s="372" t="str">
        <f>'Table 4'!C29</f>
        <v xml:space="preserve">Ferris Road: Western Freeway to Shogaki Drive (IT13) 
Construction of additional lane in either direction to existing 4-lane divided road to provide ultimate 6-lane divided arterial road (ultimate layout). 
Purchase land to increase reserve width from 34m to 45m (ultimate).  </v>
      </c>
      <c r="D28" s="339">
        <f t="shared" si="0"/>
        <v>1103121.1798003654</v>
      </c>
      <c r="E28" s="340">
        <v>0.20124142647903323</v>
      </c>
      <c r="F28" s="339">
        <f t="shared" si="1"/>
        <v>2846702.7245956003</v>
      </c>
      <c r="G28" s="340">
        <v>0.51932147396811257</v>
      </c>
      <c r="H28" s="339">
        <f t="shared" si="2"/>
        <v>313191.7678390533</v>
      </c>
      <c r="I28" s="340">
        <v>5.7135298710181116E-2</v>
      </c>
      <c r="J28" s="339">
        <f t="shared" si="3"/>
        <v>1218565.3277649807</v>
      </c>
      <c r="K28" s="340">
        <v>0.22230180084267306</v>
      </c>
      <c r="L28" s="339">
        <f>'Table 4'!F29</f>
        <v>5481581</v>
      </c>
      <c r="M28" s="339">
        <f>'Table 4'!I29</f>
        <v>5481581</v>
      </c>
      <c r="N28" s="341"/>
      <c r="O28" s="342"/>
      <c r="P28" s="343" t="str">
        <f>'Table 4'!O29</f>
        <v>Not commenced</v>
      </c>
      <c r="Q28" s="341"/>
    </row>
    <row r="29" spans="1:17" s="316" customFormat="1" ht="33.75" x14ac:dyDescent="0.25">
      <c r="A29" s="343" t="s">
        <v>400</v>
      </c>
      <c r="B29" s="315" t="s">
        <v>226</v>
      </c>
      <c r="C29" s="372" t="str">
        <f>'Table 4'!C30</f>
        <v xml:space="preserve">Ferris Road: Abey Road (IT13) to Melbourne Ballarat Rail Line
Construction of a 2-lane arterial road (interim layout). 
Purchase land to increase reserve width from 34m to 38m (ultimate). </v>
      </c>
      <c r="D29" s="339">
        <f t="shared" si="0"/>
        <v>138988.39740487668</v>
      </c>
      <c r="E29" s="340">
        <v>0.20124142647903323</v>
      </c>
      <c r="F29" s="339">
        <f t="shared" si="1"/>
        <v>358671.9726034468</v>
      </c>
      <c r="G29" s="340">
        <v>0.51932147396811257</v>
      </c>
      <c r="H29" s="339">
        <f t="shared" si="2"/>
        <v>39460.779730680137</v>
      </c>
      <c r="I29" s="340">
        <v>5.7135298710181116E-2</v>
      </c>
      <c r="J29" s="339">
        <f t="shared" si="3"/>
        <v>153533.85026099638</v>
      </c>
      <c r="K29" s="340">
        <v>0.22230180084267306</v>
      </c>
      <c r="L29" s="339">
        <f>'Table 4'!F30</f>
        <v>690655</v>
      </c>
      <c r="M29" s="339">
        <f>'Table 4'!I30</f>
        <v>690655</v>
      </c>
      <c r="N29" s="341"/>
      <c r="O29" s="342"/>
      <c r="P29" s="343" t="str">
        <f>'Table 4'!O30</f>
        <v>Not commenced</v>
      </c>
      <c r="Q29" s="341"/>
    </row>
    <row r="30" spans="1:17" s="316" customFormat="1" ht="22.5" x14ac:dyDescent="0.25">
      <c r="A30" s="343" t="s">
        <v>401</v>
      </c>
      <c r="B30" s="315" t="s">
        <v>226</v>
      </c>
      <c r="C30" s="372" t="str">
        <f>'Table 4'!C31</f>
        <v xml:space="preserve">Ferris Road: Melbourne Ballarat Rail Line to Exford Road (IT05)
Construction of a 2-lane arterial road (interim layout). </v>
      </c>
      <c r="D30" s="339">
        <f t="shared" si="0"/>
        <v>2048757.2589638869</v>
      </c>
      <c r="E30" s="340">
        <v>0.20124142647903323</v>
      </c>
      <c r="F30" s="339">
        <f t="shared" si="1"/>
        <v>5287001.0819509234</v>
      </c>
      <c r="G30" s="340">
        <v>0.51932147396811257</v>
      </c>
      <c r="H30" s="339">
        <f t="shared" si="2"/>
        <v>581671.27923707757</v>
      </c>
      <c r="I30" s="340">
        <v>5.7135298710181116E-2</v>
      </c>
      <c r="J30" s="339">
        <f t="shared" si="3"/>
        <v>2263164.3798481124</v>
      </c>
      <c r="K30" s="340">
        <v>0.22230180084267306</v>
      </c>
      <c r="L30" s="339">
        <f>'Table 4'!F31</f>
        <v>10180594</v>
      </c>
      <c r="M30" s="339">
        <f>'Table 4'!I31</f>
        <v>10180594</v>
      </c>
      <c r="N30" s="341"/>
      <c r="O30" s="342"/>
      <c r="P30" s="343" t="str">
        <f>'Table 4'!O31</f>
        <v>Partially constructed (Railway Line to Alfred Road)
Under construction (Alfred Road to Exford Road)</v>
      </c>
      <c r="Q30" s="341"/>
    </row>
    <row r="31" spans="1:17" s="316" customFormat="1" ht="22.5" x14ac:dyDescent="0.25">
      <c r="A31" s="343" t="s">
        <v>251</v>
      </c>
      <c r="B31" s="315" t="s">
        <v>226</v>
      </c>
      <c r="C31" s="372" t="str">
        <f>'Table 4'!C32</f>
        <v xml:space="preserve">Ferris Road: Melbourne Ballarat Rail Line to Exford Road (IT05)
Offset cost estimate associated with removal of scattered trees for RD17. </v>
      </c>
      <c r="D31" s="339">
        <f t="shared" si="0"/>
        <v>638.94152907093053</v>
      </c>
      <c r="E31" s="340">
        <v>0.20124142647903323</v>
      </c>
      <c r="F31" s="339">
        <f t="shared" si="1"/>
        <v>1648.8456798487573</v>
      </c>
      <c r="G31" s="340">
        <v>0.51932147396811257</v>
      </c>
      <c r="H31" s="339">
        <f t="shared" si="2"/>
        <v>181.40457340482504</v>
      </c>
      <c r="I31" s="340">
        <v>5.7135298710181116E-2</v>
      </c>
      <c r="J31" s="339">
        <f t="shared" si="3"/>
        <v>705.80821767548696</v>
      </c>
      <c r="K31" s="340">
        <v>0.22230180084267306</v>
      </c>
      <c r="L31" s="339">
        <f>'Table 4'!F32</f>
        <v>3175</v>
      </c>
      <c r="M31" s="339">
        <f>'Table 4'!I32</f>
        <v>3175</v>
      </c>
      <c r="N31" s="341"/>
      <c r="O31" s="342"/>
      <c r="P31" s="343" t="str">
        <f>'Table 4'!O32</f>
        <v>Partially constructed (Railway Line to Alfred Road)
Under construction (Alfred Road to Exford Road)</v>
      </c>
      <c r="Q31" s="341"/>
    </row>
    <row r="32" spans="1:17" s="316" customFormat="1" ht="33.75" x14ac:dyDescent="0.25">
      <c r="A32" s="343" t="s">
        <v>252</v>
      </c>
      <c r="B32" s="315" t="s">
        <v>226</v>
      </c>
      <c r="C32" s="372" t="str">
        <f>'Table 4'!C33</f>
        <v xml:space="preserve">Abey Road: Toolern Creek (BD01) to Ferris Road (IT13) 
Construction of a 2-lane arterial road (interim layout).
Purchase land to increase reserve with from 19m to 38m (ultimate).  </v>
      </c>
      <c r="D32" s="339">
        <f t="shared" si="0"/>
        <v>2121635.412749141</v>
      </c>
      <c r="E32" s="340">
        <v>0.20124142647903323</v>
      </c>
      <c r="F32" s="339">
        <f t="shared" si="1"/>
        <v>5475069.6665660096</v>
      </c>
      <c r="G32" s="340">
        <v>0.51932147396811257</v>
      </c>
      <c r="H32" s="339">
        <f t="shared" si="2"/>
        <v>602362.42200434883</v>
      </c>
      <c r="I32" s="340">
        <v>5.7135298710181116E-2</v>
      </c>
      <c r="J32" s="339">
        <f t="shared" si="3"/>
        <v>2343669.3986805007</v>
      </c>
      <c r="K32" s="340">
        <v>0.22230180084267306</v>
      </c>
      <c r="L32" s="339">
        <f>'Table 4'!F33</f>
        <v>10542736.9</v>
      </c>
      <c r="M32" s="339">
        <f>'Table 4'!I33</f>
        <v>10542736.9</v>
      </c>
      <c r="N32" s="341"/>
      <c r="O32" s="342"/>
      <c r="P32" s="343" t="str">
        <f>'Table 4'!O33</f>
        <v>Constructed</v>
      </c>
      <c r="Q32" s="341"/>
    </row>
    <row r="33" spans="1:38" s="316" customFormat="1" ht="22.5" x14ac:dyDescent="0.25">
      <c r="A33" s="343" t="s">
        <v>253</v>
      </c>
      <c r="B33" s="315" t="s">
        <v>226</v>
      </c>
      <c r="C33" s="372" t="str">
        <f>'Table 4'!C34</f>
        <v xml:space="preserve">Abey Road: Toolern Creek (BD01) to Ferris Road (IT13) 
Offset cost estimate associated with removal of scattered trees for RD18. </v>
      </c>
      <c r="D33" s="339">
        <f t="shared" si="0"/>
        <v>108.09079499041833</v>
      </c>
      <c r="E33" s="340">
        <v>0.20124142647903323</v>
      </c>
      <c r="F33" s="339">
        <f t="shared" si="1"/>
        <v>278.9379500977526</v>
      </c>
      <c r="G33" s="340">
        <v>0.51932147396811257</v>
      </c>
      <c r="H33" s="339">
        <f t="shared" si="2"/>
        <v>30.688511643212482</v>
      </c>
      <c r="I33" s="340">
        <v>5.7135298710181116E-2</v>
      </c>
      <c r="J33" s="339">
        <f t="shared" si="3"/>
        <v>119.40274326861656</v>
      </c>
      <c r="K33" s="340">
        <v>0.22230180084267306</v>
      </c>
      <c r="L33" s="339">
        <f>'Table 4'!F34</f>
        <v>537.12</v>
      </c>
      <c r="M33" s="339">
        <f>'Table 4'!I34</f>
        <v>537.12</v>
      </c>
      <c r="N33" s="341"/>
      <c r="O33" s="342"/>
      <c r="P33" s="343" t="str">
        <f>'Table 4'!O34</f>
        <v>Constructed</v>
      </c>
      <c r="Q33" s="341"/>
    </row>
    <row r="34" spans="1:38" s="316" customFormat="1" ht="22.5" x14ac:dyDescent="0.25">
      <c r="A34" s="343" t="s">
        <v>254</v>
      </c>
      <c r="B34" s="315" t="s">
        <v>226</v>
      </c>
      <c r="C34" s="372" t="str">
        <f>'Table 4'!C35</f>
        <v xml:space="preserve">Abey Road: Toolern Creek (BD01) to Ferris Road (IT13) 
Offset cost estimate associated with removal of EVC for RD18. </v>
      </c>
      <c r="D34" s="339">
        <f t="shared" si="0"/>
        <v>8901.2946767064786</v>
      </c>
      <c r="E34" s="340">
        <v>0.20124142647903323</v>
      </c>
      <c r="F34" s="339">
        <f t="shared" si="1"/>
        <v>22970.585890839637</v>
      </c>
      <c r="G34" s="340">
        <v>0.51932147396811257</v>
      </c>
      <c r="H34" s="339">
        <f t="shared" si="2"/>
        <v>2527.2039617248342</v>
      </c>
      <c r="I34" s="340">
        <v>5.7135298710181116E-2</v>
      </c>
      <c r="J34" s="339">
        <f t="shared" si="3"/>
        <v>9832.8354707290473</v>
      </c>
      <c r="K34" s="340">
        <v>0.22230180084267306</v>
      </c>
      <c r="L34" s="339">
        <f>'Table 4'!F35</f>
        <v>44231.92</v>
      </c>
      <c r="M34" s="339">
        <f>'Table 4'!I35</f>
        <v>44231.92</v>
      </c>
      <c r="N34" s="341"/>
      <c r="O34" s="342"/>
      <c r="P34" s="343" t="str">
        <f>'Table 4'!O35</f>
        <v>Constructed</v>
      </c>
      <c r="Q34" s="341"/>
    </row>
    <row r="35" spans="1:38" s="316" customFormat="1" ht="33.75" x14ac:dyDescent="0.25">
      <c r="A35" s="343" t="s">
        <v>255</v>
      </c>
      <c r="B35" s="315" t="s">
        <v>226</v>
      </c>
      <c r="C35" s="372" t="str">
        <f>'Table 4'!C36</f>
        <v xml:space="preserve">Shogaki Drive: Industrial Connector Road (IT12) to Mount Cottrell Road (IT10)
Construction of a 2-lane arterial road (interim layout). 
Purchase land to increase reserve width from 0m to 45m (ultimate). </v>
      </c>
      <c r="D35" s="339">
        <f t="shared" si="0"/>
        <v>1279613.1306853013</v>
      </c>
      <c r="E35" s="340">
        <v>0.20124142647903323</v>
      </c>
      <c r="F35" s="339">
        <f t="shared" si="1"/>
        <v>3302155.9664092185</v>
      </c>
      <c r="G35" s="340">
        <v>0.51932147396811257</v>
      </c>
      <c r="H35" s="339">
        <f t="shared" si="2"/>
        <v>363300.33897266153</v>
      </c>
      <c r="I35" s="340">
        <v>5.7135298710181116E-2</v>
      </c>
      <c r="J35" s="339">
        <f t="shared" si="3"/>
        <v>1413527.5639328184</v>
      </c>
      <c r="K35" s="340">
        <v>0.22230180084267306</v>
      </c>
      <c r="L35" s="339">
        <f>'Table 4'!F36</f>
        <v>6358597</v>
      </c>
      <c r="M35" s="339">
        <f>'Table 4'!I36</f>
        <v>6358597</v>
      </c>
      <c r="N35" s="341"/>
      <c r="O35" s="342"/>
      <c r="P35" s="343" t="str">
        <f>'Table 4'!O36</f>
        <v>Not commenced</v>
      </c>
      <c r="Q35" s="341"/>
    </row>
    <row r="36" spans="1:38" s="316" customFormat="1" ht="22.5" x14ac:dyDescent="0.25">
      <c r="A36" s="343" t="s">
        <v>256</v>
      </c>
      <c r="B36" s="315" t="s">
        <v>226</v>
      </c>
      <c r="C36" s="372" t="str">
        <f>'Table 4'!C37</f>
        <v xml:space="preserve">Shogaki Drive: Industrial Connector Road (IT12) to Mount Cottrell Road (IT10)
Offset cost estimate associated with removal of EVC for RD19. </v>
      </c>
      <c r="D36" s="339">
        <f t="shared" si="0"/>
        <v>3115.0160404689555</v>
      </c>
      <c r="E36" s="340">
        <v>0.20124142647903323</v>
      </c>
      <c r="F36" s="339">
        <f t="shared" si="1"/>
        <v>8038.577095552414</v>
      </c>
      <c r="G36" s="340">
        <v>0.51932147396811257</v>
      </c>
      <c r="H36" s="339">
        <f t="shared" si="2"/>
        <v>884.39728873489355</v>
      </c>
      <c r="I36" s="340">
        <v>5.7135298710181116E-2</v>
      </c>
      <c r="J36" s="339">
        <f t="shared" si="3"/>
        <v>3441.0095752437364</v>
      </c>
      <c r="K36" s="340">
        <v>0.22230180084267306</v>
      </c>
      <c r="L36" s="339">
        <f>'Table 4'!F37</f>
        <v>15479</v>
      </c>
      <c r="M36" s="339">
        <f>'Table 4'!I37</f>
        <v>15479</v>
      </c>
      <c r="N36" s="341"/>
      <c r="O36" s="342"/>
      <c r="P36" s="343" t="str">
        <f>'Table 4'!O37</f>
        <v>Not commenced</v>
      </c>
      <c r="Q36" s="341"/>
    </row>
    <row r="37" spans="1:38" s="316" customFormat="1" ht="22.5" x14ac:dyDescent="0.25">
      <c r="A37" s="343" t="s">
        <v>257</v>
      </c>
      <c r="B37" s="315" t="s">
        <v>226</v>
      </c>
      <c r="C37" s="372" t="str">
        <f>'Table 4'!C38</f>
        <v xml:space="preserve">Ferris Road: Melbourne Ballarat Rail Line to Exford Road (IT05)
Purchase land to increase reserve width from 20m to 38m, for road section on Property 30 only. </v>
      </c>
      <c r="D37" s="339">
        <f t="shared" si="0"/>
        <v>130806.9272113716</v>
      </c>
      <c r="E37" s="340">
        <v>0.20124142647903323</v>
      </c>
      <c r="F37" s="339">
        <f t="shared" si="1"/>
        <v>337558.95807927317</v>
      </c>
      <c r="G37" s="340">
        <v>0.51932147396811257</v>
      </c>
      <c r="H37" s="339">
        <f t="shared" si="2"/>
        <v>37137.944161617728</v>
      </c>
      <c r="I37" s="340">
        <v>5.7135298710181116E-2</v>
      </c>
      <c r="J37" s="339">
        <f t="shared" si="3"/>
        <v>144496.17054773748</v>
      </c>
      <c r="K37" s="340">
        <v>0.22230180084267306</v>
      </c>
      <c r="L37" s="339">
        <f>'Table 4'!F38</f>
        <v>650000</v>
      </c>
      <c r="M37" s="339">
        <f>'Table 4'!I38</f>
        <v>650000</v>
      </c>
      <c r="N37" s="341"/>
      <c r="O37" s="342"/>
      <c r="P37" s="343" t="str">
        <f>'Table 4'!O38</f>
        <v>Land acquired</v>
      </c>
      <c r="Q37" s="341"/>
    </row>
    <row r="38" spans="1:38" s="316" customFormat="1" ht="22.5" x14ac:dyDescent="0.25">
      <c r="A38" s="343" t="s">
        <v>258</v>
      </c>
      <c r="B38" s="315" t="s">
        <v>226</v>
      </c>
      <c r="C38" s="372" t="str">
        <f>'Table 4'!C39</f>
        <v xml:space="preserve">Ferris Road: Melbourne Ballarat Rail Line to Exford Road (IT05)
Offset cost estimate associated with removal of EVC for RD20. </v>
      </c>
      <c r="D38" s="339">
        <f t="shared" si="0"/>
        <v>145.92217075421178</v>
      </c>
      <c r="E38" s="340">
        <v>0.20124142647903323</v>
      </c>
      <c r="F38" s="339">
        <f t="shared" si="1"/>
        <v>376.5651939890181</v>
      </c>
      <c r="G38" s="340">
        <v>0.51932147396811257</v>
      </c>
      <c r="H38" s="339">
        <f t="shared" si="2"/>
        <v>41.429376447739429</v>
      </c>
      <c r="I38" s="340">
        <v>5.7135298710181116E-2</v>
      </c>
      <c r="J38" s="339">
        <f t="shared" si="3"/>
        <v>161.19325880903068</v>
      </c>
      <c r="K38" s="340">
        <v>0.22230180084267306</v>
      </c>
      <c r="L38" s="339">
        <f>'Table 4'!F39</f>
        <v>725.11</v>
      </c>
      <c r="M38" s="339">
        <f>'Table 4'!I39</f>
        <v>725.11</v>
      </c>
      <c r="N38" s="341"/>
      <c r="O38" s="342"/>
      <c r="P38" s="343" t="str">
        <f>'Table 4'!O39</f>
        <v>Land acquired</v>
      </c>
      <c r="Q38" s="341"/>
    </row>
    <row r="39" spans="1:38" s="316" customFormat="1" ht="22.5" x14ac:dyDescent="0.25">
      <c r="A39" s="343" t="s">
        <v>259</v>
      </c>
      <c r="B39" s="315" t="s">
        <v>226</v>
      </c>
      <c r="C39" s="372" t="str">
        <f>'Table 4'!C40</f>
        <v xml:space="preserve">Ferris Road: Melbourne Ballarat Rail Line to Exford Road (IT05)
Purchase land to increase reserve width from 20m to 38m, for balance of required land (excluding Property 30). </v>
      </c>
      <c r="D39" s="339">
        <f t="shared" si="0"/>
        <v>387389.74597213895</v>
      </c>
      <c r="E39" s="340">
        <v>0.20124142647903323</v>
      </c>
      <c r="F39" s="339">
        <f t="shared" si="1"/>
        <v>999693.83738861664</v>
      </c>
      <c r="G39" s="340">
        <v>0.51932147396811257</v>
      </c>
      <c r="H39" s="339">
        <f t="shared" si="2"/>
        <v>109985.45001709864</v>
      </c>
      <c r="I39" s="340">
        <v>5.7135298710181116E-2</v>
      </c>
      <c r="J39" s="339">
        <f t="shared" si="3"/>
        <v>427930.96662214567</v>
      </c>
      <c r="K39" s="340">
        <v>0.22230180084267306</v>
      </c>
      <c r="L39" s="339">
        <f>'Table 4'!F40</f>
        <v>1925000</v>
      </c>
      <c r="M39" s="339">
        <f>'Table 4'!I40</f>
        <v>1925000</v>
      </c>
      <c r="N39" s="341"/>
      <c r="O39" s="342"/>
      <c r="P39" s="343" t="str">
        <f>'Table 4'!O40</f>
        <v>Not commenced</v>
      </c>
      <c r="Q39" s="341"/>
    </row>
    <row r="40" spans="1:38" s="316" customFormat="1" ht="22.5" x14ac:dyDescent="0.25">
      <c r="A40" s="343" t="s">
        <v>511</v>
      </c>
      <c r="B40" s="315" t="s">
        <v>226</v>
      </c>
      <c r="C40" s="372" t="str">
        <f>'Table 4'!C41</f>
        <v>Paynes Road: Alfred Road (IT30) to East-West Connector Road 1 (IT31)
Construction of a 2-lane arterial road (interim standard).</v>
      </c>
      <c r="D40" s="339">
        <f t="shared" si="0"/>
        <v>140737.21659340046</v>
      </c>
      <c r="E40" s="340">
        <v>0.20124142647903301</v>
      </c>
      <c r="F40" s="339">
        <f t="shared" si="1"/>
        <v>363184.95670705847</v>
      </c>
      <c r="G40" s="340">
        <v>0.51932147396811301</v>
      </c>
      <c r="H40" s="339">
        <f t="shared" si="2"/>
        <v>39957.294332442914</v>
      </c>
      <c r="I40" s="340">
        <v>5.7135298710181116E-2</v>
      </c>
      <c r="J40" s="339">
        <f t="shared" ref="J40:J42" si="4">M40*K40</f>
        <v>854810.84236709622</v>
      </c>
      <c r="K40" s="340">
        <v>1.22230180084267</v>
      </c>
      <c r="L40" s="339">
        <f>'Table 4'!F41</f>
        <v>1398690.31</v>
      </c>
      <c r="M40" s="339">
        <f>'Table 4'!I41</f>
        <v>699345.15500000003</v>
      </c>
      <c r="N40" s="341"/>
      <c r="O40" s="342"/>
      <c r="P40" s="343" t="str">
        <f>'Table 4'!O41</f>
        <v>New project from Rockbank DCP - RD06</v>
      </c>
      <c r="Q40" s="341" t="s">
        <v>732</v>
      </c>
    </row>
    <row r="41" spans="1:38" s="316" customFormat="1" ht="22.5" x14ac:dyDescent="0.25">
      <c r="A41" s="343" t="s">
        <v>512</v>
      </c>
      <c r="B41" s="315" t="s">
        <v>226</v>
      </c>
      <c r="C41" s="372" t="str">
        <f>'Table 4'!C42</f>
        <v>Paynes Road: East-West Connector Road 1 (IT31) to Exford Road (IT07)
Construction of a 2-lane arterial road (interim standard).</v>
      </c>
      <c r="D41" s="339">
        <f t="shared" si="0"/>
        <v>180258.05438077063</v>
      </c>
      <c r="E41" s="340">
        <v>0.20124142647903301</v>
      </c>
      <c r="F41" s="339">
        <f t="shared" si="1"/>
        <v>465172.00823658111</v>
      </c>
      <c r="G41" s="340">
        <v>0.51932147396811301</v>
      </c>
      <c r="H41" s="339">
        <f t="shared" si="2"/>
        <v>51177.821396701569</v>
      </c>
      <c r="I41" s="340">
        <v>5.7135298710181116E-2</v>
      </c>
      <c r="J41" s="339">
        <f t="shared" si="4"/>
        <v>1990583.1809859439</v>
      </c>
      <c r="K41" s="340">
        <v>2.2223018008426698</v>
      </c>
      <c r="L41" s="339">
        <f>'Table 4'!F42</f>
        <v>1791460.71</v>
      </c>
      <c r="M41" s="339">
        <f>'Table 4'!I42</f>
        <v>895730.35499999998</v>
      </c>
      <c r="N41" s="341"/>
      <c r="O41" s="342"/>
      <c r="P41" s="343" t="str">
        <f>'Table 4'!O42</f>
        <v>New project from Rockbank DCP - RD07</v>
      </c>
      <c r="Q41" s="341" t="s">
        <v>732</v>
      </c>
    </row>
    <row r="42" spans="1:38" s="316" customFormat="1" ht="22.5" x14ac:dyDescent="0.25">
      <c r="A42" s="343" t="s">
        <v>513</v>
      </c>
      <c r="B42" s="315" t="s">
        <v>226</v>
      </c>
      <c r="C42" s="372" t="str">
        <f>'Table 4'!C43</f>
        <v>Paynes Road: Exford Road (IT07) to East-West Connector Road 2 (IT32)
Construction of a 2-lane arterial road (interim standard).</v>
      </c>
      <c r="D42" s="339">
        <f t="shared" si="0"/>
        <v>95404.061541620613</v>
      </c>
      <c r="E42" s="340">
        <v>0.20124142647903301</v>
      </c>
      <c r="F42" s="339">
        <f t="shared" si="1"/>
        <v>246198.70137673183</v>
      </c>
      <c r="G42" s="340">
        <v>0.51932147396811301</v>
      </c>
      <c r="H42" s="339">
        <f t="shared" si="2"/>
        <v>27086.567858894203</v>
      </c>
      <c r="I42" s="340">
        <v>5.7135298710181116E-2</v>
      </c>
      <c r="J42" s="339">
        <f t="shared" si="4"/>
        <v>1527621.2492227519</v>
      </c>
      <c r="K42" s="340">
        <v>3.2223018008426698</v>
      </c>
      <c r="L42" s="339">
        <f>'Table 4'!F43</f>
        <v>948155.29</v>
      </c>
      <c r="M42" s="339">
        <f>'Table 4'!I43</f>
        <v>474077.64500000002</v>
      </c>
      <c r="N42" s="341"/>
      <c r="O42" s="342"/>
      <c r="P42" s="343" t="str">
        <f>'Table 4'!O43</f>
        <v>New project from Rockbank DCP - RD08</v>
      </c>
      <c r="Q42" s="341" t="s">
        <v>732</v>
      </c>
    </row>
    <row r="43" spans="1:38" s="78" customFormat="1" x14ac:dyDescent="0.25">
      <c r="A43" s="369" t="s">
        <v>14</v>
      </c>
      <c r="B43" s="7"/>
      <c r="C43" s="369"/>
      <c r="D43" s="344">
        <f>SUM(D5:D42)</f>
        <v>23203057.106102772</v>
      </c>
      <c r="E43" s="345"/>
      <c r="F43" s="344">
        <f>SUM(F5:F42)</f>
        <v>59875559.335669607</v>
      </c>
      <c r="G43" s="345"/>
      <c r="H43" s="344">
        <f>SUM(H5:H42)</f>
        <v>6586061.7210989641</v>
      </c>
      <c r="I43" s="345"/>
      <c r="J43" s="344">
        <f>SUM(J5:J42)</f>
        <v>29548985.42212864</v>
      </c>
      <c r="K43" s="345"/>
      <c r="L43" s="344">
        <f>SUM(L5:L42)</f>
        <v>121328897.72000001</v>
      </c>
      <c r="M43" s="344">
        <f>SUM(M5:M42)</f>
        <v>115300624.78500001</v>
      </c>
      <c r="N43" s="346"/>
      <c r="O43" s="474"/>
      <c r="P43" s="347"/>
      <c r="Q43" s="346"/>
    </row>
    <row r="44" spans="1:38" s="77" customFormat="1" x14ac:dyDescent="0.25">
      <c r="A44" s="368" t="s">
        <v>260</v>
      </c>
      <c r="B44" s="227"/>
      <c r="C44" s="371"/>
      <c r="D44" s="337"/>
      <c r="E44" s="166"/>
      <c r="F44" s="337"/>
      <c r="G44" s="166"/>
      <c r="H44" s="337"/>
      <c r="I44" s="166"/>
      <c r="J44" s="337"/>
      <c r="K44" s="166"/>
      <c r="L44" s="337"/>
      <c r="M44" s="337"/>
      <c r="N44" s="338"/>
      <c r="O44" s="473"/>
      <c r="P44" s="1"/>
      <c r="Q44" s="338"/>
      <c r="R44" s="75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6"/>
      <c r="AG44" s="76"/>
      <c r="AH44" s="76"/>
      <c r="AI44" s="76"/>
      <c r="AJ44" s="76"/>
      <c r="AK44" s="76"/>
      <c r="AL44" s="74"/>
    </row>
    <row r="45" spans="1:38" s="316" customFormat="1" ht="22.5" x14ac:dyDescent="0.25">
      <c r="A45" s="343" t="s">
        <v>261</v>
      </c>
      <c r="B45" s="315" t="s">
        <v>226</v>
      </c>
      <c r="C45" s="372" t="str">
        <f>'Table 4'!C46</f>
        <v>Intersection: Rees Road and East West Arterial
Construction of signalised 4-way intersection (interim standard).</v>
      </c>
      <c r="D45" s="339">
        <f>M45*E45</f>
        <v>1108322.666950569</v>
      </c>
      <c r="E45" s="340">
        <v>0.20124142647903323</v>
      </c>
      <c r="F45" s="339">
        <f>M45*G45</f>
        <v>2860125.6267332542</v>
      </c>
      <c r="G45" s="340">
        <v>0.51932147396811257</v>
      </c>
      <c r="H45" s="339">
        <f>M45*I45</f>
        <v>314668.54390481539</v>
      </c>
      <c r="I45" s="340">
        <v>5.7135298710181116E-2</v>
      </c>
      <c r="J45" s="339">
        <f>M45*K45</f>
        <v>1224311.1624113612</v>
      </c>
      <c r="K45" s="340">
        <v>0.22230180084267306</v>
      </c>
      <c r="L45" s="339">
        <f>'Table 4'!F46</f>
        <v>5507428</v>
      </c>
      <c r="M45" s="339">
        <f>'Table 4'!I46</f>
        <v>5507428</v>
      </c>
      <c r="N45" s="341"/>
      <c r="O45" s="342"/>
      <c r="P45" s="343" t="str">
        <f>'Table 4'!O46</f>
        <v>Not commenced</v>
      </c>
      <c r="Q45" s="341"/>
    </row>
    <row r="46" spans="1:38" s="316" customFormat="1" ht="22.5" x14ac:dyDescent="0.25">
      <c r="A46" s="343" t="s">
        <v>262</v>
      </c>
      <c r="B46" s="315" t="s">
        <v>226</v>
      </c>
      <c r="C46" s="372" t="str">
        <f>'Table 4'!C47</f>
        <v xml:space="preserve">Intersection: East West Arterial and Exford Road
Construction of signalised T-intersection (interim standard). </v>
      </c>
      <c r="D46" s="339">
        <f t="shared" ref="D46:D72" si="5">M46*E46</f>
        <v>1411311.9598988278</v>
      </c>
      <c r="E46" s="340">
        <v>0.20124142647903323</v>
      </c>
      <c r="F46" s="339">
        <f t="shared" ref="F46:F72" si="6">M46*G46</f>
        <v>3642016.5572611187</v>
      </c>
      <c r="G46" s="340">
        <v>0.51932147396811257</v>
      </c>
      <c r="H46" s="339">
        <f t="shared" ref="H46:H72" si="7">M46*I46</f>
        <v>400691.50677816279</v>
      </c>
      <c r="I46" s="340">
        <v>5.7135298710181116E-2</v>
      </c>
      <c r="J46" s="339">
        <f t="shared" ref="J46:J72" si="8">M46*K46</f>
        <v>1559008.9760618906</v>
      </c>
      <c r="K46" s="340">
        <v>0.22230180084267306</v>
      </c>
      <c r="L46" s="339">
        <f>'Table 4'!F47</f>
        <v>7013029</v>
      </c>
      <c r="M46" s="339">
        <f>'Table 4'!I47</f>
        <v>7013029</v>
      </c>
      <c r="N46" s="341"/>
      <c r="O46" s="342"/>
      <c r="P46" s="343" t="str">
        <f>'Table 4'!O47</f>
        <v>Not commenced</v>
      </c>
      <c r="Q46" s="341"/>
    </row>
    <row r="47" spans="1:38" s="316" customFormat="1" ht="22.5" x14ac:dyDescent="0.25">
      <c r="A47" s="343" t="s">
        <v>263</v>
      </c>
      <c r="B47" s="315" t="s">
        <v>226</v>
      </c>
      <c r="C47" s="372" t="str">
        <f>'Table 4'!C48</f>
        <v>Intersection: Exford Road and Exford Road
Construction of signalised T-intersection (interim standard).</v>
      </c>
      <c r="D47" s="339">
        <f t="shared" si="5"/>
        <v>2299869.1283043954</v>
      </c>
      <c r="E47" s="340">
        <v>0.20124142647903323</v>
      </c>
      <c r="F47" s="339">
        <f t="shared" si="6"/>
        <v>5935017.6876689699</v>
      </c>
      <c r="G47" s="340">
        <v>0.51932147396811257</v>
      </c>
      <c r="H47" s="339">
        <f t="shared" si="7"/>
        <v>652965.50486182352</v>
      </c>
      <c r="I47" s="340">
        <v>5.7135298710181116E-2</v>
      </c>
      <c r="J47" s="339">
        <f t="shared" si="8"/>
        <v>2540555.6791648115</v>
      </c>
      <c r="K47" s="340">
        <v>0.22230180084267306</v>
      </c>
      <c r="L47" s="339">
        <f>'Table 4'!F48</f>
        <v>11428408</v>
      </c>
      <c r="M47" s="339">
        <f>'Table 4'!I48</f>
        <v>11428408</v>
      </c>
      <c r="N47" s="341"/>
      <c r="O47" s="342"/>
      <c r="P47" s="343" t="str">
        <f>'Table 4'!O48</f>
        <v>Not commenced</v>
      </c>
      <c r="Q47" s="341"/>
    </row>
    <row r="48" spans="1:38" s="316" customFormat="1" ht="22.5" x14ac:dyDescent="0.25">
      <c r="A48" s="343" t="s">
        <v>264</v>
      </c>
      <c r="B48" s="315" t="s">
        <v>226</v>
      </c>
      <c r="C48" s="372" t="str">
        <f>'Table 4'!C49</f>
        <v xml:space="preserve">Intersection: Exford Road and Greigs Road
Upgrade of protected right-turn lane and left-turn deceleration lane, including drainage and landscaping.  </v>
      </c>
      <c r="D48" s="339">
        <f t="shared" si="5"/>
        <v>611022.09852693533</v>
      </c>
      <c r="E48" s="340">
        <v>0.20124142647903323</v>
      </c>
      <c r="F48" s="339">
        <f t="shared" si="6"/>
        <v>1576797.0958363174</v>
      </c>
      <c r="G48" s="340">
        <v>0.51932147396811257</v>
      </c>
      <c r="H48" s="339">
        <f t="shared" si="7"/>
        <v>173477.85060296935</v>
      </c>
      <c r="I48" s="340">
        <v>5.7135298710181116E-2</v>
      </c>
      <c r="J48" s="339">
        <f t="shared" si="8"/>
        <v>674966.95503377786</v>
      </c>
      <c r="K48" s="340">
        <v>0.22230180084267306</v>
      </c>
      <c r="L48" s="339">
        <f>'Table 4'!F49</f>
        <v>3036264</v>
      </c>
      <c r="M48" s="339">
        <f>'Table 4'!I49</f>
        <v>3036264</v>
      </c>
      <c r="N48" s="341"/>
      <c r="O48" s="342"/>
      <c r="P48" s="343" t="str">
        <f>'Table 4'!O49</f>
        <v>Not commenced</v>
      </c>
      <c r="Q48" s="341"/>
    </row>
    <row r="49" spans="1:17" s="316" customFormat="1" ht="22.5" x14ac:dyDescent="0.25">
      <c r="A49" s="343" t="s">
        <v>265</v>
      </c>
      <c r="B49" s="315" t="s">
        <v>226</v>
      </c>
      <c r="C49" s="372" t="str">
        <f>'Table 4'!C50</f>
        <v>Intersection: Exford Road and Ferris Road
Purchase of land and construction of signalised 4-way intersection (interim standard).</v>
      </c>
      <c r="D49" s="339">
        <f t="shared" si="5"/>
        <v>2310658.4861436421</v>
      </c>
      <c r="E49" s="340">
        <v>0.20124142647903323</v>
      </c>
      <c r="F49" s="339">
        <f t="shared" si="6"/>
        <v>5962860.5891742958</v>
      </c>
      <c r="G49" s="340">
        <v>0.51932147396811257</v>
      </c>
      <c r="H49" s="339">
        <f t="shared" si="7"/>
        <v>656028.7567668712</v>
      </c>
      <c r="I49" s="340">
        <v>5.7135298710181116E-2</v>
      </c>
      <c r="J49" s="339">
        <f t="shared" si="8"/>
        <v>2552474.1679151906</v>
      </c>
      <c r="K49" s="340">
        <v>0.22230180084267306</v>
      </c>
      <c r="L49" s="339">
        <f>'Table 4'!F50</f>
        <v>11482022</v>
      </c>
      <c r="M49" s="339">
        <f>'Table 4'!I50</f>
        <v>11482022</v>
      </c>
      <c r="N49" s="341"/>
      <c r="O49" s="342"/>
      <c r="P49" s="343" t="str">
        <f>'Table 4'!O50</f>
        <v>Not commenced</v>
      </c>
      <c r="Q49" s="341"/>
    </row>
    <row r="50" spans="1:17" s="316" customFormat="1" ht="22.5" x14ac:dyDescent="0.25">
      <c r="A50" s="343" t="s">
        <v>266</v>
      </c>
      <c r="B50" s="315" t="s">
        <v>226</v>
      </c>
      <c r="C50" s="372" t="str">
        <f>'Table 4'!C51</f>
        <v>Intersection: Exford Road and Mount Cottrell Road
Purchase of land and construction of signalised 4-way intersection (interim standard).</v>
      </c>
      <c r="D50" s="339">
        <f t="shared" si="5"/>
        <v>3257778.5195860197</v>
      </c>
      <c r="E50" s="340">
        <v>0.20124142647903323</v>
      </c>
      <c r="F50" s="339">
        <f t="shared" si="6"/>
        <v>8406988.4230786599</v>
      </c>
      <c r="G50" s="340">
        <v>0.51932147396811257</v>
      </c>
      <c r="H50" s="339">
        <f t="shared" si="7"/>
        <v>924929.5838575844</v>
      </c>
      <c r="I50" s="340">
        <v>5.7135298710181116E-2</v>
      </c>
      <c r="J50" s="339">
        <f t="shared" si="8"/>
        <v>3598712.4734777361</v>
      </c>
      <c r="K50" s="340">
        <v>0.22230180084267306</v>
      </c>
      <c r="L50" s="339">
        <f>'Table 4'!F51</f>
        <v>16188409</v>
      </c>
      <c r="M50" s="339">
        <f>'Table 4'!I51</f>
        <v>16188409</v>
      </c>
      <c r="N50" s="341"/>
      <c r="O50" s="342"/>
      <c r="P50" s="343" t="str">
        <f>'Table 4'!O51</f>
        <v>Not commenced</v>
      </c>
      <c r="Q50" s="341"/>
    </row>
    <row r="51" spans="1:17" s="316" customFormat="1" ht="22.5" x14ac:dyDescent="0.25">
      <c r="A51" s="343" t="s">
        <v>267</v>
      </c>
      <c r="B51" s="315" t="s">
        <v>226</v>
      </c>
      <c r="C51" s="372" t="str">
        <f>'Table 4'!C52</f>
        <v xml:space="preserve">Intersection: Exford Road and Paynes Road
Construction of signalised 4-way intersection (interim standard). </v>
      </c>
      <c r="D51" s="339">
        <f t="shared" si="5"/>
        <v>565465.79993802554</v>
      </c>
      <c r="E51" s="340">
        <v>0.20124142647903323</v>
      </c>
      <c r="F51" s="339">
        <f t="shared" si="6"/>
        <v>1459234.9986794032</v>
      </c>
      <c r="G51" s="340">
        <v>0.51932147396811257</v>
      </c>
      <c r="H51" s="339">
        <f t="shared" si="7"/>
        <v>160543.77051047533</v>
      </c>
      <c r="I51" s="340">
        <v>5.7135298710181116E-2</v>
      </c>
      <c r="J51" s="339">
        <f t="shared" si="8"/>
        <v>624643.08587209554</v>
      </c>
      <c r="K51" s="340">
        <v>0.22230180084267306</v>
      </c>
      <c r="L51" s="339">
        <f>'Table 4'!F52</f>
        <v>5619775.3099999996</v>
      </c>
      <c r="M51" s="339">
        <f>'Table 4'!I52</f>
        <v>2809887.6549999998</v>
      </c>
      <c r="N51" s="341"/>
      <c r="O51" s="342"/>
      <c r="P51" s="343" t="str">
        <f>'Table 4'!O52</f>
        <v>Not commenced</v>
      </c>
      <c r="Q51" s="341"/>
    </row>
    <row r="52" spans="1:17" s="316" customFormat="1" ht="22.5" x14ac:dyDescent="0.25">
      <c r="A52" s="343" t="s">
        <v>268</v>
      </c>
      <c r="B52" s="315" t="s">
        <v>226</v>
      </c>
      <c r="C52" s="372" t="str">
        <f>'Table 4'!C53</f>
        <v>Deleted</v>
      </c>
      <c r="D52" s="339">
        <f t="shared" si="5"/>
        <v>0</v>
      </c>
      <c r="E52" s="340">
        <v>0.20124142647903323</v>
      </c>
      <c r="F52" s="339">
        <f t="shared" si="6"/>
        <v>0</v>
      </c>
      <c r="G52" s="340">
        <v>0.51932147396811257</v>
      </c>
      <c r="H52" s="339">
        <f t="shared" si="7"/>
        <v>0</v>
      </c>
      <c r="I52" s="340">
        <v>5.7135298710181116E-2</v>
      </c>
      <c r="J52" s="339">
        <f t="shared" si="8"/>
        <v>0</v>
      </c>
      <c r="K52" s="340">
        <v>0.22230180084267306</v>
      </c>
      <c r="L52" s="339">
        <f>'Table 4'!F53</f>
        <v>0</v>
      </c>
      <c r="M52" s="339">
        <f>'Table 4'!I53</f>
        <v>0</v>
      </c>
      <c r="N52" s="341"/>
      <c r="O52" s="342"/>
      <c r="P52" s="343" t="str">
        <f>'Table 4'!O53</f>
        <v>Project deleted as it is located in the Rockbank South PSP area</v>
      </c>
      <c r="Q52" s="341"/>
    </row>
    <row r="53" spans="1:17" s="316" customFormat="1" ht="22.5" x14ac:dyDescent="0.25">
      <c r="A53" s="343" t="s">
        <v>269</v>
      </c>
      <c r="B53" s="315" t="s">
        <v>226</v>
      </c>
      <c r="C53" s="372" t="str">
        <f>'Table 4'!C54</f>
        <v>Deleted</v>
      </c>
      <c r="D53" s="339">
        <f t="shared" si="5"/>
        <v>0</v>
      </c>
      <c r="E53" s="340">
        <v>0.20124142647903323</v>
      </c>
      <c r="F53" s="339">
        <f t="shared" si="6"/>
        <v>0</v>
      </c>
      <c r="G53" s="340">
        <v>0.51932147396811257</v>
      </c>
      <c r="H53" s="339">
        <f t="shared" si="7"/>
        <v>0</v>
      </c>
      <c r="I53" s="340">
        <v>5.7135298710181116E-2</v>
      </c>
      <c r="J53" s="339">
        <f t="shared" si="8"/>
        <v>0</v>
      </c>
      <c r="K53" s="340">
        <v>0.22230180084267306</v>
      </c>
      <c r="L53" s="339">
        <f>'Table 4'!F54</f>
        <v>0</v>
      </c>
      <c r="M53" s="339">
        <f>'Table 4'!I54</f>
        <v>0</v>
      </c>
      <c r="N53" s="341"/>
      <c r="O53" s="342"/>
      <c r="P53" s="343" t="str">
        <f>'Table 4'!O54</f>
        <v>Project deleted as it is located in the Rockbank South PSP area</v>
      </c>
      <c r="Q53" s="341"/>
    </row>
    <row r="54" spans="1:17" s="316" customFormat="1" ht="22.5" x14ac:dyDescent="0.25">
      <c r="A54" s="343" t="s">
        <v>270</v>
      </c>
      <c r="B54" s="315" t="s">
        <v>226</v>
      </c>
      <c r="C54" s="372" t="str">
        <f>'Table 4'!C55</f>
        <v>Intersection: Mount Cottrell Road and Shogaki Drive
Purchase of land and construction of signalised 4-way intersection (interim standard).</v>
      </c>
      <c r="D54" s="339">
        <f t="shared" si="5"/>
        <v>931711.07803759142</v>
      </c>
      <c r="E54" s="340">
        <v>0.20124142647903323</v>
      </c>
      <c r="F54" s="339">
        <f t="shared" si="6"/>
        <v>2404363.6483033621</v>
      </c>
      <c r="G54" s="340">
        <v>0.51932147396811257</v>
      </c>
      <c r="H54" s="339">
        <f t="shared" si="7"/>
        <v>264526.00583612395</v>
      </c>
      <c r="I54" s="340">
        <v>5.7135298710181116E-2</v>
      </c>
      <c r="J54" s="339">
        <f t="shared" si="8"/>
        <v>1029216.7678229226</v>
      </c>
      <c r="K54" s="340">
        <v>0.22230180084267306</v>
      </c>
      <c r="L54" s="339">
        <f>'Table 4'!F55</f>
        <v>8184635</v>
      </c>
      <c r="M54" s="339">
        <f>'Table 4'!I55</f>
        <v>4629817.5</v>
      </c>
      <c r="N54" s="341"/>
      <c r="O54" s="342"/>
      <c r="P54" s="343" t="str">
        <f>'Table 4'!O55</f>
        <v>Partially constructed</v>
      </c>
      <c r="Q54" s="341" t="s">
        <v>730</v>
      </c>
    </row>
    <row r="55" spans="1:17" s="316" customFormat="1" x14ac:dyDescent="0.25">
      <c r="A55" s="343" t="s">
        <v>725</v>
      </c>
      <c r="B55" s="315"/>
      <c r="C55" s="372" t="str">
        <f>'Table 4'!C56</f>
        <v>Skipped Project - There is no IT11 in the Toolern DCP</v>
      </c>
      <c r="D55" s="339"/>
      <c r="E55" s="340"/>
      <c r="F55" s="339"/>
      <c r="G55" s="340"/>
      <c r="H55" s="339"/>
      <c r="I55" s="340"/>
      <c r="J55" s="339"/>
      <c r="K55" s="340"/>
      <c r="L55" s="339"/>
      <c r="M55" s="339"/>
      <c r="N55" s="341"/>
      <c r="O55" s="342"/>
      <c r="P55" s="343" t="str">
        <f>'Table 4'!O56</f>
        <v>This project was skipped in the Toolern DCP</v>
      </c>
      <c r="Q55" s="341"/>
    </row>
    <row r="56" spans="1:17" s="316" customFormat="1" ht="22.5" x14ac:dyDescent="0.25">
      <c r="A56" s="343" t="s">
        <v>271</v>
      </c>
      <c r="B56" s="315" t="s">
        <v>226</v>
      </c>
      <c r="C56" s="372" t="str">
        <f>'Table 4'!C57</f>
        <v>Intersection: Shogaki Drive and Industrial Connector Road 
Construction of signalised 4-way intersection (interim standard).</v>
      </c>
      <c r="D56" s="339">
        <f t="shared" si="5"/>
        <v>2536614.1709671388</v>
      </c>
      <c r="E56" s="340">
        <v>0.20124142647903323</v>
      </c>
      <c r="F56" s="339">
        <f t="shared" si="6"/>
        <v>6545959.414038958</v>
      </c>
      <c r="G56" s="340">
        <v>0.51932147396811257</v>
      </c>
      <c r="H56" s="339">
        <f t="shared" si="7"/>
        <v>720180.78437635093</v>
      </c>
      <c r="I56" s="340">
        <v>5.7135298710181116E-2</v>
      </c>
      <c r="J56" s="339">
        <f t="shared" si="8"/>
        <v>2802076.6306175515</v>
      </c>
      <c r="K56" s="340">
        <v>0.22230180084267306</v>
      </c>
      <c r="L56" s="339">
        <f>'Table 4'!F57</f>
        <v>12604831</v>
      </c>
      <c r="M56" s="339">
        <f>'Table 4'!I57</f>
        <v>12604831</v>
      </c>
      <c r="N56" s="341"/>
      <c r="O56" s="342"/>
      <c r="P56" s="343" t="str">
        <f>'Table 4'!O57</f>
        <v>Not commenced</v>
      </c>
      <c r="Q56" s="341"/>
    </row>
    <row r="57" spans="1:17" s="316" customFormat="1" ht="22.5" x14ac:dyDescent="0.25">
      <c r="A57" s="343" t="s">
        <v>272</v>
      </c>
      <c r="B57" s="315" t="s">
        <v>226</v>
      </c>
      <c r="C57" s="372" t="str">
        <f>'Table 4'!C58</f>
        <v xml:space="preserve">Intersection: Ferris Road and Shogaki Drive
Purchase of land and construction of signalised 4-way intersection (interim standard). </v>
      </c>
      <c r="D57" s="339">
        <f t="shared" si="5"/>
        <v>2372233.5328519908</v>
      </c>
      <c r="E57" s="340">
        <v>0.20124142647903323</v>
      </c>
      <c r="F57" s="339">
        <f t="shared" si="6"/>
        <v>6121760.4964931626</v>
      </c>
      <c r="G57" s="340">
        <v>0.51932147396811257</v>
      </c>
      <c r="H57" s="339">
        <f t="shared" si="7"/>
        <v>673510.7869250176</v>
      </c>
      <c r="I57" s="340">
        <v>5.7135298710181116E-2</v>
      </c>
      <c r="J57" s="339">
        <f t="shared" si="8"/>
        <v>2620493.1837298283</v>
      </c>
      <c r="K57" s="340">
        <v>0.22230180084267306</v>
      </c>
      <c r="L57" s="339">
        <f>'Table 4'!F58</f>
        <v>11787998</v>
      </c>
      <c r="M57" s="339">
        <f>'Table 4'!I58</f>
        <v>11787998</v>
      </c>
      <c r="N57" s="341"/>
      <c r="O57" s="342"/>
      <c r="P57" s="343" t="str">
        <f>'Table 4'!O58</f>
        <v>Not commenced</v>
      </c>
      <c r="Q57" s="341"/>
    </row>
    <row r="58" spans="1:17" s="316" customFormat="1" ht="22.5" x14ac:dyDescent="0.25">
      <c r="A58" s="343" t="s">
        <v>273</v>
      </c>
      <c r="B58" s="315" t="s">
        <v>226</v>
      </c>
      <c r="C58" s="372" t="str">
        <f>'Table 4'!C59</f>
        <v>Intersection: Ferris Road and Hollingsworth Drive 
Construction of signalised T-intersection (interim standard).</v>
      </c>
      <c r="D58" s="339">
        <f t="shared" si="5"/>
        <v>272389.37087667687</v>
      </c>
      <c r="E58" s="340">
        <v>0.20124142647903323</v>
      </c>
      <c r="F58" s="339">
        <f t="shared" si="6"/>
        <v>702925.09873289324</v>
      </c>
      <c r="G58" s="340">
        <v>0.51932147396811257</v>
      </c>
      <c r="H58" s="339">
        <f t="shared" si="7"/>
        <v>77335.210462437812</v>
      </c>
      <c r="I58" s="340">
        <v>5.7135298710181116E-2</v>
      </c>
      <c r="J58" s="339">
        <f t="shared" si="8"/>
        <v>300895.5399279921</v>
      </c>
      <c r="K58" s="340">
        <v>0.22230180084267306</v>
      </c>
      <c r="L58" s="339">
        <f>'Table 4'!F59</f>
        <v>1353545.22</v>
      </c>
      <c r="M58" s="339">
        <f>'Table 4'!I59</f>
        <v>1353545.22</v>
      </c>
      <c r="N58" s="341"/>
      <c r="O58" s="342"/>
      <c r="P58" s="343" t="str">
        <f>'Table 4'!O59</f>
        <v>Constructed</v>
      </c>
      <c r="Q58" s="341"/>
    </row>
    <row r="59" spans="1:17" s="316" customFormat="1" ht="33.75" x14ac:dyDescent="0.25">
      <c r="A59" s="343" t="s">
        <v>274</v>
      </c>
      <c r="B59" s="315" t="s">
        <v>226</v>
      </c>
      <c r="C59" s="372" t="str">
        <f>'Table 4'!C60</f>
        <v>Intersection: Ferris Road and Bridge Road
Construction of signalised 4-way intersection (interim standard).</v>
      </c>
      <c r="D59" s="339">
        <f t="shared" si="5"/>
        <v>546077.66661504819</v>
      </c>
      <c r="E59" s="340">
        <v>0.20124142647903323</v>
      </c>
      <c r="F59" s="339">
        <f t="shared" si="6"/>
        <v>1409202.189078802</v>
      </c>
      <c r="G59" s="340">
        <v>0.51932147396811257</v>
      </c>
      <c r="H59" s="339">
        <f t="shared" si="7"/>
        <v>155039.20413851843</v>
      </c>
      <c r="I59" s="340">
        <v>5.7135298710181116E-2</v>
      </c>
      <c r="J59" s="339">
        <f t="shared" si="8"/>
        <v>603225.94016763126</v>
      </c>
      <c r="K59" s="340">
        <v>0.22230180084267306</v>
      </c>
      <c r="L59" s="339">
        <f>'Table 4'!F60</f>
        <v>2713545</v>
      </c>
      <c r="M59" s="339">
        <f>'Table 4'!I60</f>
        <v>2713545</v>
      </c>
      <c r="N59" s="341"/>
      <c r="O59" s="342"/>
      <c r="P59" s="343" t="str">
        <f>'Table 4'!O60</f>
        <v>Commited project
Part of the Bridge Road extension project to the Hospital</v>
      </c>
      <c r="Q59" s="341"/>
    </row>
    <row r="60" spans="1:17" s="316" customFormat="1" ht="22.5" x14ac:dyDescent="0.25">
      <c r="A60" s="343" t="s">
        <v>275</v>
      </c>
      <c r="B60" s="315" t="s">
        <v>226</v>
      </c>
      <c r="C60" s="372" t="str">
        <f>'Table 4'!C61</f>
        <v xml:space="preserve">Intersection: Abey Road and Industrial Connector Road
Construction of a signalised T-intersection (interim standard). </v>
      </c>
      <c r="D60" s="339">
        <f t="shared" si="5"/>
        <v>1081838.0877773694</v>
      </c>
      <c r="E60" s="340">
        <v>0.20124142647903323</v>
      </c>
      <c r="F60" s="339">
        <f t="shared" si="6"/>
        <v>2791779.804830207</v>
      </c>
      <c r="G60" s="340">
        <v>0.51932147396811257</v>
      </c>
      <c r="H60" s="339">
        <f t="shared" si="7"/>
        <v>307149.19578276324</v>
      </c>
      <c r="I60" s="340">
        <v>5.7135298710181116E-2</v>
      </c>
      <c r="J60" s="339">
        <f t="shared" si="8"/>
        <v>1195054.9116096604</v>
      </c>
      <c r="K60" s="340">
        <v>0.22230180084267306</v>
      </c>
      <c r="L60" s="339">
        <f>'Table 4'!F61</f>
        <v>5375822</v>
      </c>
      <c r="M60" s="339">
        <f>'Table 4'!I61</f>
        <v>5375822</v>
      </c>
      <c r="N60" s="341"/>
      <c r="O60" s="342"/>
      <c r="P60" s="343" t="str">
        <f>'Table 4'!O61</f>
        <v>Not commenced</v>
      </c>
      <c r="Q60" s="341"/>
    </row>
    <row r="61" spans="1:17" s="316" customFormat="1" ht="22.5" x14ac:dyDescent="0.25">
      <c r="A61" s="343" t="s">
        <v>276</v>
      </c>
      <c r="B61" s="315" t="s">
        <v>226</v>
      </c>
      <c r="C61" s="372" t="str">
        <f>'Table 4'!C62</f>
        <v>Intersection: Abey Road and Bundy Drive
Construction of signalised T-intersection (interim standard).</v>
      </c>
      <c r="D61" s="339">
        <f t="shared" si="5"/>
        <v>1162628.2696102157</v>
      </c>
      <c r="E61" s="340">
        <v>0.20124142647903323</v>
      </c>
      <c r="F61" s="339">
        <f t="shared" si="6"/>
        <v>3000266.0844479715</v>
      </c>
      <c r="G61" s="340">
        <v>0.51932147396811257</v>
      </c>
      <c r="H61" s="339">
        <f t="shared" si="7"/>
        <v>330086.67566765385</v>
      </c>
      <c r="I61" s="340">
        <v>5.7135298710181116E-2</v>
      </c>
      <c r="J61" s="339">
        <f t="shared" si="8"/>
        <v>1284299.970274159</v>
      </c>
      <c r="K61" s="340">
        <v>0.22230180084267306</v>
      </c>
      <c r="L61" s="339">
        <f>'Table 4'!F62</f>
        <v>5777281</v>
      </c>
      <c r="M61" s="339">
        <f>'Table 4'!I62</f>
        <v>5777281</v>
      </c>
      <c r="N61" s="341"/>
      <c r="O61" s="342"/>
      <c r="P61" s="343" t="str">
        <f>'Table 4'!O62</f>
        <v>Not commenced</v>
      </c>
      <c r="Q61" s="341"/>
    </row>
    <row r="62" spans="1:17" s="316" customFormat="1" ht="22.5" x14ac:dyDescent="0.25">
      <c r="A62" s="343" t="s">
        <v>277</v>
      </c>
      <c r="B62" s="315" t="s">
        <v>226</v>
      </c>
      <c r="C62" s="372" t="str">
        <f>'Table 4'!C63</f>
        <v>Intersection: Ferris Road and Shakamaker Drive
Construction of signalised 4-way intersection (ultimate standard).</v>
      </c>
      <c r="D62" s="339">
        <f t="shared" si="5"/>
        <v>1815879.8752766436</v>
      </c>
      <c r="E62" s="340">
        <v>0.20124142647903323</v>
      </c>
      <c r="F62" s="339">
        <f t="shared" si="6"/>
        <v>4686040.1949891271</v>
      </c>
      <c r="G62" s="340">
        <v>0.51932147396811257</v>
      </c>
      <c r="H62" s="339">
        <f t="shared" si="7"/>
        <v>515554.0830284612</v>
      </c>
      <c r="I62" s="340">
        <v>5.7135298710181116E-2</v>
      </c>
      <c r="J62" s="339">
        <f t="shared" si="8"/>
        <v>2005915.8467057678</v>
      </c>
      <c r="K62" s="340">
        <v>0.22230180084267306</v>
      </c>
      <c r="L62" s="339">
        <f>'Table 4'!F63</f>
        <v>9023390</v>
      </c>
      <c r="M62" s="339">
        <f>'Table 4'!I63</f>
        <v>9023390</v>
      </c>
      <c r="N62" s="341"/>
      <c r="O62" s="342"/>
      <c r="P62" s="343" t="str">
        <f>'Table 4'!O63</f>
        <v>Not commenced</v>
      </c>
      <c r="Q62" s="341"/>
    </row>
    <row r="63" spans="1:17" s="316" customFormat="1" ht="22.5" x14ac:dyDescent="0.25">
      <c r="A63" s="343" t="s">
        <v>278</v>
      </c>
      <c r="B63" s="315" t="s">
        <v>226</v>
      </c>
      <c r="C63" s="372" t="str">
        <f>'Table 4'!C64</f>
        <v>Intersection: Mount Cottrell Road and Baxterpark Drive
Construction of signalised T-intersection (interim standard).</v>
      </c>
      <c r="D63" s="339">
        <f t="shared" si="5"/>
        <v>107820.79339333993</v>
      </c>
      <c r="E63" s="340">
        <v>0.20124142647903323</v>
      </c>
      <c r="F63" s="339">
        <f t="shared" si="6"/>
        <v>278241.18686255906</v>
      </c>
      <c r="G63" s="340">
        <v>0.51932147396811257</v>
      </c>
      <c r="H63" s="339">
        <f t="shared" si="7"/>
        <v>30611.854355639003</v>
      </c>
      <c r="I63" s="340">
        <v>5.7135298710181116E-2</v>
      </c>
      <c r="J63" s="339">
        <f t="shared" si="8"/>
        <v>119104.48538846195</v>
      </c>
      <c r="K63" s="340">
        <v>0.22230180084267306</v>
      </c>
      <c r="L63" s="339">
        <f>'Table 4'!F64</f>
        <v>1071556.6399999999</v>
      </c>
      <c r="M63" s="339">
        <f>'Table 4'!I64</f>
        <v>535778.31999999995</v>
      </c>
      <c r="N63" s="341"/>
      <c r="O63" s="342"/>
      <c r="P63" s="343" t="str">
        <f>'Table 4'!O64</f>
        <v>Constructed</v>
      </c>
      <c r="Q63" s="341"/>
    </row>
    <row r="64" spans="1:17" s="316" customFormat="1" ht="22.5" x14ac:dyDescent="0.25">
      <c r="A64" s="343" t="s">
        <v>279</v>
      </c>
      <c r="B64" s="315" t="s">
        <v>226</v>
      </c>
      <c r="C64" s="372" t="str">
        <f>'Table 4'!C65</f>
        <v>Intersection: Mount Cottrell Road and Southern Connector Road
Construction of signalised 4-way intersection (interim standard).</v>
      </c>
      <c r="D64" s="339">
        <f t="shared" si="5"/>
        <v>2261723.0109495884</v>
      </c>
      <c r="E64" s="340">
        <v>0.20124142647903323</v>
      </c>
      <c r="F64" s="339">
        <f t="shared" si="6"/>
        <v>5836578.2249924177</v>
      </c>
      <c r="G64" s="340">
        <v>0.51932147396811257</v>
      </c>
      <c r="H64" s="339">
        <f t="shared" si="7"/>
        <v>642135.28045011393</v>
      </c>
      <c r="I64" s="340">
        <v>5.7135298710181116E-2</v>
      </c>
      <c r="J64" s="339">
        <f t="shared" si="8"/>
        <v>2498417.4836078794</v>
      </c>
      <c r="K64" s="340">
        <v>0.22230180084267306</v>
      </c>
      <c r="L64" s="339">
        <f>'Table 4'!F65</f>
        <v>11238854</v>
      </c>
      <c r="M64" s="339">
        <f>'Table 4'!I65</f>
        <v>11238854</v>
      </c>
      <c r="N64" s="341"/>
      <c r="O64" s="342"/>
      <c r="P64" s="343" t="str">
        <f>'Table 4'!O65</f>
        <v>Not commenced</v>
      </c>
      <c r="Q64" s="341"/>
    </row>
    <row r="65" spans="1:38" s="316" customFormat="1" ht="22.5" x14ac:dyDescent="0.25">
      <c r="A65" s="343" t="s">
        <v>280</v>
      </c>
      <c r="B65" s="315" t="s">
        <v>226</v>
      </c>
      <c r="C65" s="372" t="str">
        <f>'Table 4'!C66</f>
        <v xml:space="preserve">Intersection: Exford Road and Eastern North-South Connector Road 
Construction of signalised 4-way intersection (interim standard). </v>
      </c>
      <c r="D65" s="339">
        <f t="shared" si="5"/>
        <v>1848883.0667363522</v>
      </c>
      <c r="E65" s="340">
        <v>0.20124142647903323</v>
      </c>
      <c r="F65" s="339">
        <f t="shared" si="6"/>
        <v>4771207.8780769501</v>
      </c>
      <c r="G65" s="340">
        <v>0.51932147396811257</v>
      </c>
      <c r="H65" s="339">
        <f t="shared" si="7"/>
        <v>524924.15774633351</v>
      </c>
      <c r="I65" s="340">
        <v>5.7135298710181116E-2</v>
      </c>
      <c r="J65" s="339">
        <f t="shared" si="8"/>
        <v>2042372.8974403644</v>
      </c>
      <c r="K65" s="340">
        <v>0.22230180084267306</v>
      </c>
      <c r="L65" s="339">
        <f>'Table 4'!F66</f>
        <v>9187388</v>
      </c>
      <c r="M65" s="339">
        <f>'Table 4'!I66</f>
        <v>9187388</v>
      </c>
      <c r="N65" s="341"/>
      <c r="O65" s="342"/>
      <c r="P65" s="343" t="str">
        <f>'Table 4'!O66</f>
        <v>Not commenced</v>
      </c>
      <c r="Q65" s="341"/>
    </row>
    <row r="66" spans="1:38" s="316" customFormat="1" ht="22.5" x14ac:dyDescent="0.25">
      <c r="A66" s="343" t="s">
        <v>281</v>
      </c>
      <c r="B66" s="315" t="s">
        <v>226</v>
      </c>
      <c r="C66" s="372" t="str">
        <f>'Table 4'!C67</f>
        <v>Intersection: Exford Road and Central North-South Connector Road
Construction of signalised 4-way intersection (interim standard).</v>
      </c>
      <c r="D66" s="339">
        <f t="shared" si="5"/>
        <v>1548651.7875379885</v>
      </c>
      <c r="E66" s="340">
        <v>0.20124142647903323</v>
      </c>
      <c r="F66" s="339">
        <f t="shared" si="6"/>
        <v>3996434.2483498184</v>
      </c>
      <c r="G66" s="340">
        <v>0.51932147396811257</v>
      </c>
      <c r="H66" s="339">
        <f t="shared" si="7"/>
        <v>439684.23414180911</v>
      </c>
      <c r="I66" s="340">
        <v>5.7135298710181116E-2</v>
      </c>
      <c r="J66" s="339">
        <f t="shared" si="8"/>
        <v>1710721.7299703839</v>
      </c>
      <c r="K66" s="340">
        <v>0.22230180084267306</v>
      </c>
      <c r="L66" s="339">
        <f>'Table 4'!F67</f>
        <v>7695492</v>
      </c>
      <c r="M66" s="339">
        <f>'Table 4'!I67</f>
        <v>7695492</v>
      </c>
      <c r="N66" s="341"/>
      <c r="O66" s="342"/>
      <c r="P66" s="343" t="str">
        <f>'Table 4'!O67</f>
        <v>Not commenced</v>
      </c>
      <c r="Q66" s="341"/>
    </row>
    <row r="67" spans="1:38" s="316" customFormat="1" ht="22.5" x14ac:dyDescent="0.25">
      <c r="A67" s="343" t="s">
        <v>282</v>
      </c>
      <c r="B67" s="315" t="s">
        <v>226</v>
      </c>
      <c r="C67" s="372" t="str">
        <f>'Table 4'!C68</f>
        <v>Intersection: Exford Road and Western North-South Connector Road
Construction of signalised T-intersection (interim standard).</v>
      </c>
      <c r="D67" s="339">
        <f t="shared" si="5"/>
        <v>1132511.081447643</v>
      </c>
      <c r="E67" s="340">
        <v>0.20124142647903323</v>
      </c>
      <c r="F67" s="339">
        <f t="shared" si="6"/>
        <v>2922545.9906183253</v>
      </c>
      <c r="G67" s="340">
        <v>0.51932147396811257</v>
      </c>
      <c r="H67" s="339">
        <f t="shared" si="7"/>
        <v>321535.97826858429</v>
      </c>
      <c r="I67" s="340">
        <v>5.7135298710181116E-2</v>
      </c>
      <c r="J67" s="339">
        <f t="shared" si="8"/>
        <v>1251030.9496654472</v>
      </c>
      <c r="K67" s="340">
        <v>0.22230180084267306</v>
      </c>
      <c r="L67" s="339">
        <f>'Table 4'!F68</f>
        <v>5627624</v>
      </c>
      <c r="M67" s="339">
        <f>'Table 4'!I68</f>
        <v>5627624</v>
      </c>
      <c r="N67" s="341"/>
      <c r="O67" s="342"/>
      <c r="P67" s="343" t="str">
        <f>'Table 4'!O68</f>
        <v>Not commenced</v>
      </c>
      <c r="Q67" s="341"/>
    </row>
    <row r="68" spans="1:38" s="316" customFormat="1" ht="22.5" x14ac:dyDescent="0.25">
      <c r="A68" s="343" t="s">
        <v>283</v>
      </c>
      <c r="B68" s="315" t="s">
        <v>226</v>
      </c>
      <c r="C68" s="372" t="str">
        <f>'Table 4'!C69</f>
        <v>Intersection: Exford Road and Elpis Road
Construction of signalised T-intersection (interim standard).</v>
      </c>
      <c r="D68" s="339">
        <f t="shared" si="5"/>
        <v>215641.58678667987</v>
      </c>
      <c r="E68" s="340">
        <v>0.20124142647903323</v>
      </c>
      <c r="F68" s="339">
        <f t="shared" si="6"/>
        <v>556482.37372511812</v>
      </c>
      <c r="G68" s="340">
        <v>0.51932147396811257</v>
      </c>
      <c r="H68" s="339">
        <f t="shared" si="7"/>
        <v>61223.708711278006</v>
      </c>
      <c r="I68" s="340">
        <v>5.7135298710181116E-2</v>
      </c>
      <c r="J68" s="339">
        <f t="shared" si="8"/>
        <v>238208.9707769239</v>
      </c>
      <c r="K68" s="340">
        <v>0.22230180084267306</v>
      </c>
      <c r="L68" s="339">
        <f>'Table 4'!F69</f>
        <v>1071556.6399999999</v>
      </c>
      <c r="M68" s="339">
        <f>'Table 4'!I69</f>
        <v>1071556.6399999999</v>
      </c>
      <c r="N68" s="341"/>
      <c r="O68" s="342"/>
      <c r="P68" s="343" t="str">
        <f>'Table 4'!O69</f>
        <v>Constructed</v>
      </c>
      <c r="Q68" s="341"/>
    </row>
    <row r="69" spans="1:38" s="316" customFormat="1" ht="22.5" x14ac:dyDescent="0.25">
      <c r="A69" s="343" t="s">
        <v>284</v>
      </c>
      <c r="B69" s="315" t="s">
        <v>226</v>
      </c>
      <c r="C69" s="372" t="str">
        <f>'Table 4'!C70</f>
        <v>Intersection: Mount Cottrell Road and Bridge Road
Construction of signalised T-intersection (interim standard).</v>
      </c>
      <c r="D69" s="339">
        <f t="shared" si="5"/>
        <v>306019.18386532721</v>
      </c>
      <c r="E69" s="340">
        <v>0.20124142647903323</v>
      </c>
      <c r="F69" s="339">
        <f t="shared" si="6"/>
        <v>789709.83463992819</v>
      </c>
      <c r="G69" s="340">
        <v>0.51932147396811257</v>
      </c>
      <c r="H69" s="339">
        <f t="shared" si="7"/>
        <v>86883.191930727888</v>
      </c>
      <c r="I69" s="340">
        <v>5.7135298710181116E-2</v>
      </c>
      <c r="J69" s="339">
        <f t="shared" si="8"/>
        <v>338044.78956401668</v>
      </c>
      <c r="K69" s="340">
        <v>0.22230180084267306</v>
      </c>
      <c r="L69" s="339">
        <f>'Table 4'!F70</f>
        <v>1520657</v>
      </c>
      <c r="M69" s="339">
        <f>'Table 4'!I70</f>
        <v>1520657</v>
      </c>
      <c r="N69" s="341"/>
      <c r="O69" s="342"/>
      <c r="P69" s="343" t="str">
        <f>'Table 4'!O70</f>
        <v>Not commenced</v>
      </c>
      <c r="Q69" s="341"/>
    </row>
    <row r="70" spans="1:38" s="316" customFormat="1" ht="22.5" x14ac:dyDescent="0.25">
      <c r="A70" s="352" t="s">
        <v>285</v>
      </c>
      <c r="B70" s="317" t="s">
        <v>226</v>
      </c>
      <c r="C70" s="372" t="str">
        <f>'Table 4'!C71</f>
        <v>Intersection: Mount Cottrell Road and Alfred Road
Construction of signalised 4-way intersection (interim standard).</v>
      </c>
      <c r="D70" s="339">
        <f t="shared" si="5"/>
        <v>513879.08265151666</v>
      </c>
      <c r="E70" s="340">
        <v>0.20124142647903323</v>
      </c>
      <c r="F70" s="339">
        <f t="shared" si="6"/>
        <v>1326110.8674946281</v>
      </c>
      <c r="G70" s="340">
        <v>0.51932147396811257</v>
      </c>
      <c r="H70" s="339">
        <f t="shared" si="7"/>
        <v>145897.56891465513</v>
      </c>
      <c r="I70" s="340">
        <v>5.7135298710181116E-2</v>
      </c>
      <c r="J70" s="339">
        <f t="shared" si="8"/>
        <v>567657.70093919977</v>
      </c>
      <c r="K70" s="340">
        <v>0.22230180084267306</v>
      </c>
      <c r="L70" s="339">
        <f>'Table 4'!F71</f>
        <v>2553545.2199999997</v>
      </c>
      <c r="M70" s="339">
        <f>'Table 4'!I71</f>
        <v>2553545.2199999997</v>
      </c>
      <c r="N70" s="341"/>
      <c r="O70" s="342"/>
      <c r="P70" s="343" t="str">
        <f>'Table 4'!O71</f>
        <v>Constructed</v>
      </c>
      <c r="Q70" s="341"/>
    </row>
    <row r="71" spans="1:38" s="316" customFormat="1" ht="22.5" x14ac:dyDescent="0.25">
      <c r="A71" s="352" t="s">
        <v>286</v>
      </c>
      <c r="B71" s="317" t="s">
        <v>226</v>
      </c>
      <c r="C71" s="372" t="str">
        <f>'Table 4'!C72</f>
        <v>Intersection: Ferris Road and Alfred Road
Construction of signalised 4-way intersection (interim standard).</v>
      </c>
      <c r="D71" s="339">
        <f t="shared" si="5"/>
        <v>393134.22676409682</v>
      </c>
      <c r="E71" s="340">
        <v>0.20124142647903323</v>
      </c>
      <c r="F71" s="339">
        <f t="shared" si="6"/>
        <v>1014517.9831137607</v>
      </c>
      <c r="G71" s="340">
        <v>0.51932147396811257</v>
      </c>
      <c r="H71" s="339">
        <f t="shared" si="7"/>
        <v>111616.38968854648</v>
      </c>
      <c r="I71" s="340">
        <v>5.7135298710181116E-2</v>
      </c>
      <c r="J71" s="339">
        <f t="shared" si="8"/>
        <v>434276.6204335959</v>
      </c>
      <c r="K71" s="340">
        <v>0.22230180084267306</v>
      </c>
      <c r="L71" s="339">
        <f>'Table 4'!F72</f>
        <v>1953545.22</v>
      </c>
      <c r="M71" s="339">
        <f>'Table 4'!I72</f>
        <v>1953545.22</v>
      </c>
      <c r="N71" s="341"/>
      <c r="O71" s="342"/>
      <c r="P71" s="343" t="str">
        <f>'Table 4'!O72</f>
        <v>Under construction</v>
      </c>
      <c r="Q71" s="341"/>
    </row>
    <row r="72" spans="1:38" s="316" customFormat="1" ht="22.5" x14ac:dyDescent="0.25">
      <c r="A72" s="352" t="s">
        <v>287</v>
      </c>
      <c r="B72" s="317" t="s">
        <v>226</v>
      </c>
      <c r="C72" s="372" t="str">
        <f>'Table 4'!C73</f>
        <v>Intersection: Ferris Road and Southern Connector Road
Construction of signalised 4-way intersection (interim standard).</v>
      </c>
      <c r="D72" s="339">
        <f t="shared" si="5"/>
        <v>498785.93139247544</v>
      </c>
      <c r="E72" s="340">
        <v>0.20124142647903323</v>
      </c>
      <c r="F72" s="339">
        <f t="shared" si="6"/>
        <v>1287161.6426962956</v>
      </c>
      <c r="G72" s="340">
        <v>0.51932147396811257</v>
      </c>
      <c r="H72" s="339">
        <f t="shared" si="7"/>
        <v>141612.40894162585</v>
      </c>
      <c r="I72" s="340">
        <v>5.7135298710181116E-2</v>
      </c>
      <c r="J72" s="339">
        <f t="shared" si="8"/>
        <v>550985.01696960314</v>
      </c>
      <c r="K72" s="340">
        <v>0.22230180084267306</v>
      </c>
      <c r="L72" s="339">
        <f>'Table 4'!F73</f>
        <v>2478545</v>
      </c>
      <c r="M72" s="339">
        <f>'Table 4'!I73</f>
        <v>2478545</v>
      </c>
      <c r="N72" s="341"/>
      <c r="O72" s="342"/>
      <c r="P72" s="343" t="str">
        <f>'Table 4'!O73</f>
        <v>Under construction</v>
      </c>
      <c r="Q72" s="341"/>
    </row>
    <row r="73" spans="1:38" s="316" customFormat="1" ht="22.5" x14ac:dyDescent="0.25">
      <c r="A73" s="352" t="s">
        <v>503</v>
      </c>
      <c r="B73" s="317" t="s">
        <v>226</v>
      </c>
      <c r="C73" s="372" t="str">
        <f>'Table 4'!C74</f>
        <v>Intersection: Ferris Road and Enterprise Street
Construction of a signalised 4-way intersection (interim standard).</v>
      </c>
      <c r="D73" s="339">
        <f t="shared" ref="D73:D76" si="9">M73*E73</f>
        <v>960634.60267900268</v>
      </c>
      <c r="E73" s="340">
        <v>0.20124142647903301</v>
      </c>
      <c r="F73" s="339">
        <f t="shared" ref="F73:F76" si="10">M73*G73</f>
        <v>2479003.3868101682</v>
      </c>
      <c r="G73" s="340">
        <v>0.51932147396811301</v>
      </c>
      <c r="H73" s="339">
        <f t="shared" ref="H73:H76" si="11">M73*I73</f>
        <v>272737.80521089403</v>
      </c>
      <c r="I73" s="340">
        <v>5.7135298710181102E-2</v>
      </c>
      <c r="J73" s="339">
        <f t="shared" ref="J73:J76" si="12">M73*K73</f>
        <v>1061167.2052999358</v>
      </c>
      <c r="K73" s="340">
        <v>0.22230180084267301</v>
      </c>
      <c r="L73" s="339">
        <f>'Table 4'!F74</f>
        <v>4773543</v>
      </c>
      <c r="M73" s="339">
        <f>'Table 4'!I74</f>
        <v>4773543</v>
      </c>
      <c r="N73" s="341"/>
      <c r="O73" s="342"/>
      <c r="P73" s="343" t="str">
        <f>'Table 4'!O74</f>
        <v>New project from CMAC UDF</v>
      </c>
      <c r="Q73" s="341"/>
    </row>
    <row r="74" spans="1:38" s="316" customFormat="1" ht="22.5" x14ac:dyDescent="0.25">
      <c r="A74" s="352" t="s">
        <v>504</v>
      </c>
      <c r="B74" s="317" t="s">
        <v>226</v>
      </c>
      <c r="C74" s="372" t="str">
        <f>'Table 4'!C75</f>
        <v>Intersection: Paynes Road and Alfred Road
Construction of a signalised 4-way intersection (interim standard).</v>
      </c>
      <c r="D74" s="339">
        <f t="shared" si="9"/>
        <v>389630.03596620244</v>
      </c>
      <c r="E74" s="340">
        <v>0.20124142647903301</v>
      </c>
      <c r="F74" s="339">
        <f t="shared" si="10"/>
        <v>1005475.1057993465</v>
      </c>
      <c r="G74" s="340">
        <v>0.51932147396811301</v>
      </c>
      <c r="H74" s="339">
        <f t="shared" si="11"/>
        <v>110621.50015969492</v>
      </c>
      <c r="I74" s="340">
        <v>5.7135298710181102E-2</v>
      </c>
      <c r="J74" s="339">
        <f t="shared" si="12"/>
        <v>430405.70807475649</v>
      </c>
      <c r="K74" s="340">
        <v>0.22230180084267301</v>
      </c>
      <c r="L74" s="339">
        <f>'Table 4'!F75</f>
        <v>3872264.7</v>
      </c>
      <c r="M74" s="339">
        <f>'Table 4'!I75</f>
        <v>1936132.35</v>
      </c>
      <c r="N74" s="341"/>
      <c r="O74" s="342"/>
      <c r="P74" s="343" t="str">
        <f>'Table 4'!O75</f>
        <v>New project from Rockbank DCP - IT12</v>
      </c>
      <c r="Q74" s="341" t="s">
        <v>732</v>
      </c>
    </row>
    <row r="75" spans="1:38" s="316" customFormat="1" ht="22.5" x14ac:dyDescent="0.25">
      <c r="A75" s="352" t="s">
        <v>505</v>
      </c>
      <c r="B75" s="317" t="s">
        <v>226</v>
      </c>
      <c r="C75" s="372" t="str">
        <f>'Table 4'!C76</f>
        <v>Intersection: Paynes Road and East-West Connector Road 1
Construction of a signalised 4-way intersection (interim standard).</v>
      </c>
      <c r="D75" s="339">
        <f t="shared" si="9"/>
        <v>337102.34496189875</v>
      </c>
      <c r="E75" s="340">
        <v>0.20124142647903301</v>
      </c>
      <c r="F75" s="339">
        <f t="shared" si="10"/>
        <v>869922.70789712493</v>
      </c>
      <c r="G75" s="340">
        <v>0.51932147396811301</v>
      </c>
      <c r="H75" s="339">
        <f t="shared" si="11"/>
        <v>95708.142763077223</v>
      </c>
      <c r="I75" s="340">
        <v>5.7135298710181102E-2</v>
      </c>
      <c r="J75" s="339">
        <f t="shared" si="12"/>
        <v>372380.87437789945</v>
      </c>
      <c r="K75" s="340">
        <v>0.22230180084267301</v>
      </c>
      <c r="L75" s="339">
        <f>'Table 4'!F76</f>
        <v>3350228.14</v>
      </c>
      <c r="M75" s="339">
        <f>'Table 4'!I76</f>
        <v>1675114.07</v>
      </c>
      <c r="N75" s="341"/>
      <c r="O75" s="342"/>
      <c r="P75" s="343" t="str">
        <f>'Table 4'!O76</f>
        <v>New project from Rockbank DCP - IT13</v>
      </c>
      <c r="Q75" s="341" t="s">
        <v>732</v>
      </c>
    </row>
    <row r="76" spans="1:38" s="316" customFormat="1" ht="22.5" x14ac:dyDescent="0.25">
      <c r="A76" s="352" t="s">
        <v>506</v>
      </c>
      <c r="B76" s="317" t="s">
        <v>226</v>
      </c>
      <c r="C76" s="372" t="str">
        <f>'Table 4'!C77</f>
        <v>Intersection: Paynes Road and East-West Connector Road 2
Construction of a signalised 3-way intersection (interim standard).</v>
      </c>
      <c r="D76" s="339">
        <f t="shared" si="9"/>
        <v>175856.98337093409</v>
      </c>
      <c r="E76" s="340">
        <v>0.20124142647903301</v>
      </c>
      <c r="F76" s="339">
        <f t="shared" si="10"/>
        <v>453814.65143457707</v>
      </c>
      <c r="G76" s="340">
        <v>0.51932147396811301</v>
      </c>
      <c r="H76" s="339">
        <f t="shared" si="11"/>
        <v>49928.294839514645</v>
      </c>
      <c r="I76" s="340">
        <v>5.7135298710181102E-2</v>
      </c>
      <c r="J76" s="339">
        <f t="shared" si="12"/>
        <v>194260.81785497439</v>
      </c>
      <c r="K76" s="340">
        <v>0.22230180084267301</v>
      </c>
      <c r="L76" s="339">
        <f>'Table 4'!F77</f>
        <v>3495442.99</v>
      </c>
      <c r="M76" s="339">
        <f>'Table 4'!I77</f>
        <v>873860.74750000006</v>
      </c>
      <c r="N76" s="341"/>
      <c r="O76" s="342"/>
      <c r="P76" s="343" t="str">
        <f>'Table 4'!O77</f>
        <v>New project from Rockbank DCP - IT14</v>
      </c>
      <c r="Q76" s="341" t="s">
        <v>732</v>
      </c>
    </row>
    <row r="77" spans="1:38" s="78" customFormat="1" x14ac:dyDescent="0.25">
      <c r="A77" s="369" t="s">
        <v>14</v>
      </c>
      <c r="B77" s="7"/>
      <c r="C77" s="369"/>
      <c r="D77" s="344">
        <f>SUM(D45:D76)</f>
        <v>32974074.429864138</v>
      </c>
      <c r="E77" s="345"/>
      <c r="F77" s="344">
        <f>SUM(F45:F76)</f>
        <v>85092543.991857499</v>
      </c>
      <c r="G77" s="345"/>
      <c r="H77" s="344">
        <f>SUM(H45:H76)</f>
        <v>9361807.9796225224</v>
      </c>
      <c r="I77" s="345"/>
      <c r="J77" s="344">
        <f>SUM(J45:J76)</f>
        <v>36424886.541155823</v>
      </c>
      <c r="K77" s="345"/>
      <c r="L77" s="344">
        <f>SUM(L45:L76)</f>
        <v>176986625.07999998</v>
      </c>
      <c r="M77" s="344">
        <f>SUM(M45:M76)</f>
        <v>163853312.94249997</v>
      </c>
      <c r="N77" s="346"/>
      <c r="O77" s="474"/>
      <c r="P77" s="347"/>
      <c r="Q77" s="346"/>
    </row>
    <row r="78" spans="1:38" s="77" customFormat="1" x14ac:dyDescent="0.25">
      <c r="A78" s="368" t="s">
        <v>288</v>
      </c>
      <c r="B78" s="227"/>
      <c r="C78" s="371"/>
      <c r="D78" s="337"/>
      <c r="E78" s="166"/>
      <c r="F78" s="337"/>
      <c r="G78" s="166"/>
      <c r="H78" s="337"/>
      <c r="I78" s="166"/>
      <c r="J78" s="337"/>
      <c r="K78" s="166"/>
      <c r="L78" s="337"/>
      <c r="M78" s="337"/>
      <c r="N78" s="338"/>
      <c r="O78" s="473"/>
      <c r="P78" s="1"/>
      <c r="Q78" s="338"/>
      <c r="R78" s="75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6"/>
      <c r="AG78" s="76"/>
      <c r="AH78" s="76"/>
      <c r="AI78" s="76"/>
      <c r="AJ78" s="76"/>
      <c r="AK78" s="76"/>
      <c r="AL78" s="74"/>
    </row>
    <row r="79" spans="1:38" s="316" customFormat="1" ht="22.5" x14ac:dyDescent="0.25">
      <c r="A79" s="352" t="s">
        <v>289</v>
      </c>
      <c r="B79" s="317" t="s">
        <v>226</v>
      </c>
      <c r="C79" s="372" t="str">
        <f>'Table 4'!C80</f>
        <v>Abey Road Bridge
Construction of an arterial road bridge over the Toolern Creek.</v>
      </c>
      <c r="D79" s="348">
        <f>M79*E79</f>
        <v>993086.25176116114</v>
      </c>
      <c r="E79" s="349">
        <v>0.20124142647903323</v>
      </c>
      <c r="F79" s="348">
        <f>M79*G79</f>
        <v>2562747.7655342841</v>
      </c>
      <c r="G79" s="349">
        <v>0.51932147396811257</v>
      </c>
      <c r="H79" s="348">
        <f>M79*I79</f>
        <v>281951.28921559139</v>
      </c>
      <c r="I79" s="349">
        <v>5.7135298710181116E-2</v>
      </c>
      <c r="J79" s="348">
        <f>M79*K79</f>
        <v>1097014.9934889632</v>
      </c>
      <c r="K79" s="349">
        <v>0.22230180084267306</v>
      </c>
      <c r="L79" s="348">
        <f>'Table 4'!F80</f>
        <v>4934800.3</v>
      </c>
      <c r="M79" s="348">
        <f>'Table 4'!I80</f>
        <v>4934800.3</v>
      </c>
      <c r="N79" s="341"/>
      <c r="O79" s="342"/>
      <c r="P79" s="343" t="str">
        <f>'Table 4'!O80</f>
        <v>Constructed</v>
      </c>
      <c r="Q79" s="341"/>
    </row>
    <row r="80" spans="1:38" s="316" customFormat="1" ht="22.5" x14ac:dyDescent="0.25">
      <c r="A80" s="352" t="s">
        <v>290</v>
      </c>
      <c r="B80" s="317" t="s">
        <v>226</v>
      </c>
      <c r="C80" s="372" t="str">
        <f>'Table 4'!C81</f>
        <v>Bridge Road Bridge
Construction of a connector road bridge over the Toolern Creek.</v>
      </c>
      <c r="D80" s="348">
        <f t="shared" ref="D80:D92" si="13">M80*E80</f>
        <v>1416803.0515734632</v>
      </c>
      <c r="E80" s="349">
        <v>0.20124142647903323</v>
      </c>
      <c r="F80" s="348">
        <f t="shared" ref="F80:F92" si="14">M80*G80</f>
        <v>3656186.809738745</v>
      </c>
      <c r="G80" s="349">
        <v>0.51932147396811257</v>
      </c>
      <c r="H80" s="348">
        <f t="shared" ref="H80:H92" si="15">M80*I80</f>
        <v>402250.50568094564</v>
      </c>
      <c r="I80" s="349">
        <v>5.7135298710181116E-2</v>
      </c>
      <c r="J80" s="348">
        <f t="shared" ref="J80:J92" si="16">M80*K80</f>
        <v>1565074.7230068459</v>
      </c>
      <c r="K80" s="349">
        <v>0.22230180084267306</v>
      </c>
      <c r="L80" s="348">
        <f>'Table 4'!F81</f>
        <v>7040315.0899999999</v>
      </c>
      <c r="M80" s="348">
        <f>'Table 4'!I81</f>
        <v>7040315.0899999999</v>
      </c>
      <c r="N80" s="341"/>
      <c r="O80" s="342"/>
      <c r="P80" s="343" t="str">
        <f>'Table 4'!O81</f>
        <v>Constructed</v>
      </c>
      <c r="Q80" s="341"/>
    </row>
    <row r="81" spans="1:17" s="316" customFormat="1" ht="22.5" x14ac:dyDescent="0.25">
      <c r="A81" s="352" t="s">
        <v>291</v>
      </c>
      <c r="B81" s="317" t="s">
        <v>226</v>
      </c>
      <c r="C81" s="372" t="str">
        <f>'Table 4'!C82</f>
        <v>Exford Road Bridge
Construction of an arterial road bridge over the Toolern Creek.</v>
      </c>
      <c r="D81" s="348">
        <f t="shared" si="13"/>
        <v>3057482.5253285849</v>
      </c>
      <c r="E81" s="349">
        <v>0.20124142647903323</v>
      </c>
      <c r="F81" s="348">
        <f t="shared" si="14"/>
        <v>7890106.7213952485</v>
      </c>
      <c r="G81" s="349">
        <v>0.51932147396811257</v>
      </c>
      <c r="H81" s="348">
        <f t="shared" si="15"/>
        <v>868062.70678074367</v>
      </c>
      <c r="I81" s="349">
        <v>5.7135298710181116E-2</v>
      </c>
      <c r="J81" s="348">
        <f t="shared" si="16"/>
        <v>3377455.0464954223</v>
      </c>
      <c r="K81" s="349">
        <v>0.22230180084267306</v>
      </c>
      <c r="L81" s="348">
        <f>'Table 4'!F82</f>
        <v>15193107</v>
      </c>
      <c r="M81" s="348">
        <f>'Table 4'!I82</f>
        <v>15193107</v>
      </c>
      <c r="N81" s="341"/>
      <c r="O81" s="342"/>
      <c r="P81" s="343" t="str">
        <f>'Table 4'!O82</f>
        <v>Not commenced</v>
      </c>
      <c r="Q81" s="341"/>
    </row>
    <row r="82" spans="1:17" s="316" customFormat="1" ht="22.5" x14ac:dyDescent="0.25">
      <c r="A82" s="352" t="s">
        <v>292</v>
      </c>
      <c r="B82" s="317" t="s">
        <v>226</v>
      </c>
      <c r="C82" s="372" t="str">
        <f>'Table 4'!C83</f>
        <v>Shared Use Pedestrian Bridge 1: Toolern Creek
Construction of a shared use pedestrian bridge over the Toolern Creek.</v>
      </c>
      <c r="D82" s="348">
        <f t="shared" si="13"/>
        <v>279618.32112554286</v>
      </c>
      <c r="E82" s="349">
        <v>0.20124142647903323</v>
      </c>
      <c r="F82" s="348">
        <f t="shared" si="14"/>
        <v>721580.05047005147</v>
      </c>
      <c r="G82" s="349">
        <v>0.51932147396811257</v>
      </c>
      <c r="H82" s="348">
        <f t="shared" si="15"/>
        <v>79387.61209293922</v>
      </c>
      <c r="I82" s="349">
        <v>5.7135298710181116E-2</v>
      </c>
      <c r="J82" s="348">
        <f t="shared" si="16"/>
        <v>308881.0163114664</v>
      </c>
      <c r="K82" s="349">
        <v>0.22230180084267306</v>
      </c>
      <c r="L82" s="348">
        <f>'Table 4'!F83</f>
        <v>1389467</v>
      </c>
      <c r="M82" s="348">
        <f>'Table 4'!I83</f>
        <v>1389467</v>
      </c>
      <c r="N82" s="341"/>
      <c r="O82" s="342"/>
      <c r="P82" s="343" t="str">
        <f>'Table 4'!O83</f>
        <v>Not commenced</v>
      </c>
      <c r="Q82" s="341"/>
    </row>
    <row r="83" spans="1:17" s="316" customFormat="1" ht="22.5" x14ac:dyDescent="0.25">
      <c r="A83" s="352" t="s">
        <v>293</v>
      </c>
      <c r="B83" s="317" t="s">
        <v>226</v>
      </c>
      <c r="C83" s="372" t="str">
        <f>'Table 4'!C84</f>
        <v>Shared Use Pedestrian Bridge 2: Toolern Creek
Construction of a shared use pedestrian bridge over the Toolern Creek.</v>
      </c>
      <c r="D83" s="348">
        <f t="shared" si="13"/>
        <v>279618.32112554286</v>
      </c>
      <c r="E83" s="349">
        <v>0.20124142647903323</v>
      </c>
      <c r="F83" s="348">
        <f t="shared" si="14"/>
        <v>721580.05047005147</v>
      </c>
      <c r="G83" s="349">
        <v>0.51932147396811257</v>
      </c>
      <c r="H83" s="348">
        <f t="shared" si="15"/>
        <v>79387.61209293922</v>
      </c>
      <c r="I83" s="349">
        <v>5.7135298710181116E-2</v>
      </c>
      <c r="J83" s="348">
        <f t="shared" si="16"/>
        <v>308881.0163114664</v>
      </c>
      <c r="K83" s="349">
        <v>0.22230180084267306</v>
      </c>
      <c r="L83" s="348">
        <f>'Table 4'!F84</f>
        <v>1389467</v>
      </c>
      <c r="M83" s="348">
        <f>'Table 4'!I84</f>
        <v>1389467</v>
      </c>
      <c r="N83" s="341"/>
      <c r="O83" s="342"/>
      <c r="P83" s="343" t="str">
        <f>'Table 4'!O84</f>
        <v>Not commenced</v>
      </c>
      <c r="Q83" s="341"/>
    </row>
    <row r="84" spans="1:17" s="316" customFormat="1" ht="22.5" x14ac:dyDescent="0.25">
      <c r="A84" s="352" t="s">
        <v>294</v>
      </c>
      <c r="B84" s="317" t="s">
        <v>226</v>
      </c>
      <c r="C84" s="372" t="str">
        <f>'Table 4'!C85</f>
        <v>Shared Use Pedestrian Bridge 3: Toolern Creek
Construction of a shared use pedestrian bridge over the Toolern Creek.</v>
      </c>
      <c r="D84" s="348">
        <f t="shared" si="13"/>
        <v>355156.70545156574</v>
      </c>
      <c r="E84" s="349">
        <v>0.20124142647903323</v>
      </c>
      <c r="F84" s="348">
        <f t="shared" si="14"/>
        <v>916513.59758167015</v>
      </c>
      <c r="G84" s="349">
        <v>0.51932147396811257</v>
      </c>
      <c r="H84" s="348">
        <f t="shared" si="15"/>
        <v>100834.03208739022</v>
      </c>
      <c r="I84" s="349">
        <v>5.7135298710181116E-2</v>
      </c>
      <c r="J84" s="348">
        <f t="shared" si="16"/>
        <v>392324.66487937386</v>
      </c>
      <c r="K84" s="349">
        <v>0.22230180084267306</v>
      </c>
      <c r="L84" s="348">
        <f>'Table 4'!F85</f>
        <v>1764829</v>
      </c>
      <c r="M84" s="348">
        <f>'Table 4'!I85</f>
        <v>1764829</v>
      </c>
      <c r="N84" s="341"/>
      <c r="O84" s="342"/>
      <c r="P84" s="343" t="str">
        <f>'Table 4'!O85</f>
        <v>Not commenced</v>
      </c>
      <c r="Q84" s="341"/>
    </row>
    <row r="85" spans="1:17" s="316" customFormat="1" ht="22.5" x14ac:dyDescent="0.25">
      <c r="A85" s="352" t="s">
        <v>295</v>
      </c>
      <c r="B85" s="317" t="s">
        <v>226</v>
      </c>
      <c r="C85" s="372" t="str">
        <f>'Table 4'!C86</f>
        <v>Pedestrian Underpass 1: Melbourne Ballarat Railway
Construction of a pedestrian underpass.</v>
      </c>
      <c r="D85" s="348">
        <f t="shared" si="13"/>
        <v>757160.80505603855</v>
      </c>
      <c r="E85" s="349">
        <v>0.20124142647903323</v>
      </c>
      <c r="F85" s="348">
        <f t="shared" si="14"/>
        <v>1953921.0797313252</v>
      </c>
      <c r="G85" s="349">
        <v>0.51932147396811257</v>
      </c>
      <c r="H85" s="348">
        <f t="shared" si="15"/>
        <v>214968.70463212093</v>
      </c>
      <c r="I85" s="349">
        <v>5.7135298710181116E-2</v>
      </c>
      <c r="J85" s="348">
        <f t="shared" si="16"/>
        <v>836399.41058051528</v>
      </c>
      <c r="K85" s="349">
        <v>0.22230180084267306</v>
      </c>
      <c r="L85" s="348">
        <f>'Table 4'!F86</f>
        <v>3762450</v>
      </c>
      <c r="M85" s="348">
        <f>'Table 4'!I86</f>
        <v>3762450</v>
      </c>
      <c r="N85" s="341"/>
      <c r="O85" s="342"/>
      <c r="P85" s="343" t="str">
        <f>'Table 4'!O86</f>
        <v>Not commenced</v>
      </c>
      <c r="Q85" s="341"/>
    </row>
    <row r="86" spans="1:17" s="316" customFormat="1" ht="22.5" x14ac:dyDescent="0.25">
      <c r="A86" s="352" t="s">
        <v>296</v>
      </c>
      <c r="B86" s="317" t="s">
        <v>226</v>
      </c>
      <c r="C86" s="372" t="str">
        <f>'Table 4'!C87</f>
        <v>Pedestrian Underpass 2: Melbourne Ballarat Railway
Construction of a pedestrian underpass.</v>
      </c>
      <c r="D86" s="348">
        <f t="shared" si="13"/>
        <v>757160.80505603855</v>
      </c>
      <c r="E86" s="349">
        <v>0.20124142647903323</v>
      </c>
      <c r="F86" s="348">
        <f t="shared" si="14"/>
        <v>1953921.0797313252</v>
      </c>
      <c r="G86" s="349">
        <v>0.51932147396811257</v>
      </c>
      <c r="H86" s="348">
        <f t="shared" si="15"/>
        <v>214968.70463212093</v>
      </c>
      <c r="I86" s="349">
        <v>5.7135298710181116E-2</v>
      </c>
      <c r="J86" s="348">
        <f t="shared" si="16"/>
        <v>836399.41058051528</v>
      </c>
      <c r="K86" s="349">
        <v>0.22230180084267306</v>
      </c>
      <c r="L86" s="348">
        <f>'Table 4'!F87</f>
        <v>3762450</v>
      </c>
      <c r="M86" s="348">
        <f>'Table 4'!I87</f>
        <v>3762450</v>
      </c>
      <c r="N86" s="341"/>
      <c r="O86" s="342"/>
      <c r="P86" s="343" t="str">
        <f>'Table 4'!O87</f>
        <v>Not commenced</v>
      </c>
      <c r="Q86" s="341"/>
    </row>
    <row r="87" spans="1:17" s="316" customFormat="1" x14ac:dyDescent="0.25">
      <c r="A87" s="352" t="s">
        <v>297</v>
      </c>
      <c r="B87" s="317" t="s">
        <v>226</v>
      </c>
      <c r="C87" s="372" t="str">
        <f>'Table 4'!C88</f>
        <v>Deleted</v>
      </c>
      <c r="D87" s="348">
        <f t="shared" si="13"/>
        <v>0</v>
      </c>
      <c r="E87" s="349">
        <v>0.20124142647903323</v>
      </c>
      <c r="F87" s="348">
        <f t="shared" si="14"/>
        <v>0</v>
      </c>
      <c r="G87" s="349">
        <v>0.51932147396811257</v>
      </c>
      <c r="H87" s="348">
        <f t="shared" si="15"/>
        <v>0</v>
      </c>
      <c r="I87" s="349">
        <v>5.7135298710181116E-2</v>
      </c>
      <c r="J87" s="348">
        <f t="shared" si="16"/>
        <v>0</v>
      </c>
      <c r="K87" s="349">
        <v>0.22230180084267306</v>
      </c>
      <c r="L87" s="348">
        <f>'Table 4'!F88</f>
        <v>0</v>
      </c>
      <c r="M87" s="348">
        <f>'Table 4'!I88</f>
        <v>0</v>
      </c>
      <c r="N87" s="341"/>
      <c r="O87" s="342"/>
      <c r="P87" s="343" t="str">
        <f>'Table 4'!O88</f>
        <v>Project deleted as it has been replaced by BD16</v>
      </c>
      <c r="Q87" s="341"/>
    </row>
    <row r="88" spans="1:17" s="316" customFormat="1" ht="22.5" x14ac:dyDescent="0.25">
      <c r="A88" s="352" t="s">
        <v>298</v>
      </c>
      <c r="B88" s="317" t="s">
        <v>226</v>
      </c>
      <c r="C88" s="372" t="str">
        <f>'Table 4'!C89</f>
        <v>Pedestrian Underpass 3: Melbourne Ballarat Railway
Construction of a pedestrian underpass.</v>
      </c>
      <c r="D88" s="348">
        <f t="shared" si="13"/>
        <v>757160.80505603855</v>
      </c>
      <c r="E88" s="349">
        <v>0.20124142647903323</v>
      </c>
      <c r="F88" s="348">
        <f t="shared" si="14"/>
        <v>1953921.0797313252</v>
      </c>
      <c r="G88" s="349">
        <v>0.51932147396811257</v>
      </c>
      <c r="H88" s="348">
        <f t="shared" si="15"/>
        <v>214968.70463212093</v>
      </c>
      <c r="I88" s="349">
        <v>5.7135298710181116E-2</v>
      </c>
      <c r="J88" s="348">
        <f t="shared" si="16"/>
        <v>836399.41058051528</v>
      </c>
      <c r="K88" s="349">
        <v>0.22230180084267306</v>
      </c>
      <c r="L88" s="348">
        <f>'Table 4'!F89</f>
        <v>3762450</v>
      </c>
      <c r="M88" s="348">
        <f>'Table 4'!I89</f>
        <v>3762450</v>
      </c>
      <c r="N88" s="341"/>
      <c r="O88" s="342"/>
      <c r="P88" s="343" t="str">
        <f>'Table 4'!O89</f>
        <v>Not commenced</v>
      </c>
      <c r="Q88" s="341"/>
    </row>
    <row r="89" spans="1:17" s="316" customFormat="1" ht="22.5" x14ac:dyDescent="0.25">
      <c r="A89" s="352" t="s">
        <v>299</v>
      </c>
      <c r="B89" s="317" t="s">
        <v>226</v>
      </c>
      <c r="C89" s="372" t="str">
        <f>'Table 4'!C90</f>
        <v>Deleted</v>
      </c>
      <c r="D89" s="348">
        <f t="shared" si="13"/>
        <v>0</v>
      </c>
      <c r="E89" s="349">
        <v>0.20124142647903323</v>
      </c>
      <c r="F89" s="348">
        <f t="shared" si="14"/>
        <v>0</v>
      </c>
      <c r="G89" s="349">
        <v>0.51932147396811257</v>
      </c>
      <c r="H89" s="348">
        <f t="shared" si="15"/>
        <v>0</v>
      </c>
      <c r="I89" s="349">
        <v>5.7135298710181116E-2</v>
      </c>
      <c r="J89" s="348">
        <f t="shared" si="16"/>
        <v>0</v>
      </c>
      <c r="K89" s="349">
        <v>0.22230180084267306</v>
      </c>
      <c r="L89" s="348">
        <f>'Table 4'!F90</f>
        <v>0</v>
      </c>
      <c r="M89" s="348">
        <f>'Table 4'!I90</f>
        <v>0</v>
      </c>
      <c r="N89" s="341"/>
      <c r="O89" s="342"/>
      <c r="P89" s="343" t="str">
        <f>'Table 4'!O90</f>
        <v>Project deleted as this underpass will be included in the Paynes Road Station construction project</v>
      </c>
      <c r="Q89" s="341"/>
    </row>
    <row r="90" spans="1:17" s="316" customFormat="1" ht="22.5" x14ac:dyDescent="0.25">
      <c r="A90" s="352" t="s">
        <v>300</v>
      </c>
      <c r="B90" s="317" t="s">
        <v>226</v>
      </c>
      <c r="C90" s="372" t="str">
        <f>'Table 4'!C91</f>
        <v>Deleted</v>
      </c>
      <c r="D90" s="348">
        <f t="shared" si="13"/>
        <v>0</v>
      </c>
      <c r="E90" s="349">
        <v>0.20124142647903323</v>
      </c>
      <c r="F90" s="348">
        <f t="shared" si="14"/>
        <v>0</v>
      </c>
      <c r="G90" s="349">
        <v>0.51932147396811257</v>
      </c>
      <c r="H90" s="348">
        <f t="shared" si="15"/>
        <v>0</v>
      </c>
      <c r="I90" s="349">
        <v>5.7135298710181116E-2</v>
      </c>
      <c r="J90" s="348">
        <f t="shared" si="16"/>
        <v>0</v>
      </c>
      <c r="K90" s="349">
        <v>0.22230180084267306</v>
      </c>
      <c r="L90" s="348">
        <f>'Table 4'!F91</f>
        <v>0</v>
      </c>
      <c r="M90" s="348">
        <f>'Table 4'!I91</f>
        <v>0</v>
      </c>
      <c r="N90" s="341"/>
      <c r="O90" s="342"/>
      <c r="P90" s="343" t="str">
        <f>'Table 4'!O91</f>
        <v>Project deleted as this underpass will be included in the Paynes Road Station construction project</v>
      </c>
      <c r="Q90" s="341"/>
    </row>
    <row r="91" spans="1:17" s="316" customFormat="1" ht="22.5" x14ac:dyDescent="0.25">
      <c r="A91" s="352" t="s">
        <v>301</v>
      </c>
      <c r="B91" s="317" t="s">
        <v>226</v>
      </c>
      <c r="C91" s="372" t="str">
        <f>'Table 4'!C92</f>
        <v>Deleted</v>
      </c>
      <c r="D91" s="348">
        <f t="shared" si="13"/>
        <v>0</v>
      </c>
      <c r="E91" s="349">
        <v>0.20124142647903323</v>
      </c>
      <c r="F91" s="348">
        <f t="shared" si="14"/>
        <v>0</v>
      </c>
      <c r="G91" s="349">
        <v>0.51932147396811257</v>
      </c>
      <c r="H91" s="348">
        <f t="shared" si="15"/>
        <v>0</v>
      </c>
      <c r="I91" s="349">
        <v>5.7135298710181116E-2</v>
      </c>
      <c r="J91" s="348">
        <f t="shared" si="16"/>
        <v>0</v>
      </c>
      <c r="K91" s="349">
        <v>0.22230180084267306</v>
      </c>
      <c r="L91" s="348">
        <f>'Table 4'!F92</f>
        <v>0</v>
      </c>
      <c r="M91" s="348">
        <f>'Table 4'!I92</f>
        <v>0</v>
      </c>
      <c r="N91" s="341"/>
      <c r="O91" s="342"/>
      <c r="P91" s="343" t="str">
        <f>'Table 4'!O92</f>
        <v>Project deleted as this underpass will be included in the Paynes Road Station construction project</v>
      </c>
      <c r="Q91" s="341"/>
    </row>
    <row r="92" spans="1:17" s="316" customFormat="1" ht="22.5" x14ac:dyDescent="0.25">
      <c r="A92" s="352" t="s">
        <v>302</v>
      </c>
      <c r="B92" s="317" t="s">
        <v>226</v>
      </c>
      <c r="C92" s="372" t="str">
        <f>'Table 4'!C93</f>
        <v>Shared Use Pedestrian Bridge 4: Toolern Creek
Construction of a shared use pedestrian bridge over the Toolern Creek.</v>
      </c>
      <c r="D92" s="348">
        <f t="shared" si="13"/>
        <v>355156.70545156574</v>
      </c>
      <c r="E92" s="349">
        <v>0.20124142647903323</v>
      </c>
      <c r="F92" s="348">
        <f t="shared" si="14"/>
        <v>916513.59758167015</v>
      </c>
      <c r="G92" s="349">
        <v>0.51932147396811257</v>
      </c>
      <c r="H92" s="348">
        <f t="shared" si="15"/>
        <v>100834.03208739022</v>
      </c>
      <c r="I92" s="349">
        <v>5.7135298710181116E-2</v>
      </c>
      <c r="J92" s="348">
        <f t="shared" si="16"/>
        <v>392324.66487937386</v>
      </c>
      <c r="K92" s="349">
        <v>0.22230180084267306</v>
      </c>
      <c r="L92" s="348">
        <f>'Table 4'!F93</f>
        <v>1764829</v>
      </c>
      <c r="M92" s="348">
        <f>'Table 4'!I93</f>
        <v>1764829</v>
      </c>
      <c r="N92" s="341"/>
      <c r="O92" s="342"/>
      <c r="P92" s="343" t="str">
        <f>'Table 4'!O93</f>
        <v>Not commenced</v>
      </c>
      <c r="Q92" s="341"/>
    </row>
    <row r="93" spans="1:17" s="316" customFormat="1" ht="22.5" x14ac:dyDescent="0.25">
      <c r="A93" s="352" t="s">
        <v>507</v>
      </c>
      <c r="B93" s="317" t="s">
        <v>226</v>
      </c>
      <c r="C93" s="372" t="str">
        <f>'Table 4'!C94</f>
        <v>Ferris Road Rail Overpass
Rail-road grade separation at the intersection of Ferris Road and the Melbourne-Ballarat rail corridor.</v>
      </c>
      <c r="D93" s="348">
        <f t="shared" ref="D93:D99" si="17">M93*E93</f>
        <v>0</v>
      </c>
      <c r="E93" s="349">
        <v>0.20124142647903301</v>
      </c>
      <c r="F93" s="348">
        <f t="shared" ref="F93:F99" si="18">M93*G93</f>
        <v>0</v>
      </c>
      <c r="G93" s="349">
        <v>0.51932147396811301</v>
      </c>
      <c r="H93" s="348">
        <f t="shared" ref="H93:H99" si="19">M93*I93</f>
        <v>0</v>
      </c>
      <c r="I93" s="349">
        <v>5.7135298710181102E-2</v>
      </c>
      <c r="J93" s="348">
        <f t="shared" ref="J93:J99" si="20">M93*K93</f>
        <v>0</v>
      </c>
      <c r="K93" s="349">
        <v>0.22230180084267301</v>
      </c>
      <c r="L93" s="348">
        <f>'Table 4'!F94</f>
        <v>0</v>
      </c>
      <c r="M93" s="348">
        <f>'Table 4'!I94</f>
        <v>0</v>
      </c>
      <c r="N93" s="341"/>
      <c r="O93" s="342"/>
      <c r="P93" s="343" t="str">
        <f>'Table 4'!O94</f>
        <v>New project from CMAC UDF</v>
      </c>
      <c r="Q93" s="341"/>
    </row>
    <row r="94" spans="1:17" s="316" customFormat="1" ht="33.75" x14ac:dyDescent="0.25">
      <c r="A94" s="352" t="s">
        <v>508</v>
      </c>
      <c r="B94" s="317" t="s">
        <v>226</v>
      </c>
      <c r="C94" s="372" t="str">
        <f>'Table 4'!C95</f>
        <v>East Road Rail Overpass
Construction of a rail-road grade separation at the intersection of East Road and the Melbourne-Ballarat rail corridor (interim standard).</v>
      </c>
      <c r="D94" s="348">
        <f t="shared" si="17"/>
        <v>2783862.204919247</v>
      </c>
      <c r="E94" s="349">
        <v>0.20124142647903301</v>
      </c>
      <c r="F94" s="348">
        <f t="shared" si="18"/>
        <v>7184005.0474568233</v>
      </c>
      <c r="G94" s="349">
        <v>0.51932147396811301</v>
      </c>
      <c r="H94" s="348">
        <f t="shared" si="19"/>
        <v>790378.01226586127</v>
      </c>
      <c r="I94" s="349">
        <v>5.7135298710181102E-2</v>
      </c>
      <c r="J94" s="348">
        <f t="shared" si="20"/>
        <v>3075199.7353580706</v>
      </c>
      <c r="K94" s="349">
        <v>0.22230180084267301</v>
      </c>
      <c r="L94" s="348">
        <f>'Table 4'!F95</f>
        <v>13833445</v>
      </c>
      <c r="M94" s="348">
        <f>'Table 4'!I95</f>
        <v>13833445</v>
      </c>
      <c r="N94" s="341"/>
      <c r="O94" s="342"/>
      <c r="P94" s="343" t="str">
        <f>'Table 4'!O95</f>
        <v>New project from CMAC UDF</v>
      </c>
      <c r="Q94" s="341"/>
    </row>
    <row r="95" spans="1:17" s="316" customFormat="1" ht="33.75" x14ac:dyDescent="0.25">
      <c r="A95" s="352" t="s">
        <v>509</v>
      </c>
      <c r="B95" s="317" t="s">
        <v>226</v>
      </c>
      <c r="C95" s="372" t="str">
        <f>'Table 4'!C96</f>
        <v>Paynes Road Rail Overpass
Construction of a rail-road grade separation at the intersection of Paynes Road and the Melbourne-Ballarat rail corridor (interim standard).</v>
      </c>
      <c r="D95" s="348">
        <f t="shared" si="17"/>
        <v>748447.30284127872</v>
      </c>
      <c r="E95" s="349">
        <v>0.20124142647903301</v>
      </c>
      <c r="F95" s="348">
        <f t="shared" si="18"/>
        <v>1931435.1090603499</v>
      </c>
      <c r="G95" s="349">
        <v>0.51932147396811301</v>
      </c>
      <c r="H95" s="348">
        <f t="shared" si="19"/>
        <v>212494.81761709345</v>
      </c>
      <c r="I95" s="349">
        <v>5.7135298710181102E-2</v>
      </c>
      <c r="J95" s="348">
        <f t="shared" si="20"/>
        <v>826774.02048127842</v>
      </c>
      <c r="K95" s="349">
        <v>0.22230180084267301</v>
      </c>
      <c r="L95" s="348">
        <f>'Table 4'!F96</f>
        <v>14876605</v>
      </c>
      <c r="M95" s="348">
        <f>'Table 4'!I96</f>
        <v>3719151.25</v>
      </c>
      <c r="N95" s="341"/>
      <c r="O95" s="342"/>
      <c r="P95" s="343" t="str">
        <f>'Table 4'!O96</f>
        <v>New project from Rockbank DCP - BR04</v>
      </c>
      <c r="Q95" s="341" t="s">
        <v>730</v>
      </c>
    </row>
    <row r="96" spans="1:17" s="316" customFormat="1" ht="45" x14ac:dyDescent="0.25">
      <c r="A96" s="352" t="s">
        <v>510</v>
      </c>
      <c r="B96" s="317" t="s">
        <v>226</v>
      </c>
      <c r="C96" s="372" t="str">
        <f>'Table 4'!C97</f>
        <v>Paynes Road Level Crossing Upgrade
Construction of an upgrade to the level crossing at the intersection of Paynes Road and the Melbourne-Ballarat rail corridor, including automatic gates and pedestrian crossings (ultimate standard). 
Note: Paynes Road level crossing will be closed upon completion of the construction of the Paynes Road Overpass (BD17).</v>
      </c>
      <c r="D96" s="348">
        <f t="shared" si="17"/>
        <v>31598.41964492877</v>
      </c>
      <c r="E96" s="349">
        <v>0.20124142647903301</v>
      </c>
      <c r="F96" s="348">
        <f t="shared" si="18"/>
        <v>81542.543959143964</v>
      </c>
      <c r="G96" s="349">
        <v>0.51932147396811301</v>
      </c>
      <c r="H96" s="348">
        <f t="shared" si="19"/>
        <v>8971.2400511669002</v>
      </c>
      <c r="I96" s="349">
        <v>5.7135298710181102E-2</v>
      </c>
      <c r="J96" s="348">
        <f t="shared" si="20"/>
        <v>34905.266344760385</v>
      </c>
      <c r="K96" s="349">
        <v>0.22230180084267301</v>
      </c>
      <c r="L96" s="348">
        <f>'Table 4'!F97</f>
        <v>628069.88</v>
      </c>
      <c r="M96" s="348">
        <f>'Table 4'!I97</f>
        <v>157017.47</v>
      </c>
      <c r="N96" s="341"/>
      <c r="O96" s="342"/>
      <c r="P96" s="343" t="str">
        <f>'Table 4'!O97</f>
        <v>New project from Rockbank DCP - BR07</v>
      </c>
      <c r="Q96" s="341" t="s">
        <v>730</v>
      </c>
    </row>
    <row r="97" spans="1:38" s="316" customFormat="1" ht="33.75" x14ac:dyDescent="0.25">
      <c r="A97" s="352" t="s">
        <v>515</v>
      </c>
      <c r="B97" s="317" t="s">
        <v>226</v>
      </c>
      <c r="C97" s="372" t="str">
        <f>'Table 4'!C98</f>
        <v>Mount Cottrell Road Freeway Interchange
Purchase of land for the construction of a half diamond interchange at the intersection of Mount Cottrell Road and the Western Freeway corridor (ultimate standard, southern approach only)</v>
      </c>
      <c r="D97" s="348">
        <f t="shared" si="17"/>
        <v>150931.06985927475</v>
      </c>
      <c r="E97" s="349">
        <v>0.20124142647903301</v>
      </c>
      <c r="F97" s="348">
        <f t="shared" si="18"/>
        <v>389491.10547608475</v>
      </c>
      <c r="G97" s="349">
        <v>0.51932147396811301</v>
      </c>
      <c r="H97" s="348">
        <f t="shared" si="19"/>
        <v>42851.47403263583</v>
      </c>
      <c r="I97" s="349">
        <v>5.7135298710181102E-2</v>
      </c>
      <c r="J97" s="348">
        <f t="shared" si="20"/>
        <v>166726.35063200476</v>
      </c>
      <c r="K97" s="349">
        <v>0.22230180084267301</v>
      </c>
      <c r="L97" s="348">
        <f>'Table 4'!F98</f>
        <v>750000</v>
      </c>
      <c r="M97" s="348">
        <f>'Table 4'!I98</f>
        <v>750000</v>
      </c>
      <c r="N97" s="341"/>
      <c r="O97" s="342"/>
      <c r="P97" s="343" t="str">
        <f>'Table 4'!O98</f>
        <v>New project from Paynes Road DCP</v>
      </c>
      <c r="Q97" s="341" t="s">
        <v>732</v>
      </c>
    </row>
    <row r="98" spans="1:38" s="316" customFormat="1" ht="33.75" x14ac:dyDescent="0.25">
      <c r="A98" s="352" t="s">
        <v>516</v>
      </c>
      <c r="B98" s="317" t="s">
        <v>226</v>
      </c>
      <c r="C98" s="372" t="str">
        <f>'Table 4'!C99</f>
        <v>Mount Cottrell Road Rail Overpass
Purchase of land for the construction of a rail-road grade separation at the intersection of Mount Cottrell Road and the Melbourne-Ballarat rail corridor (ultimate standard).</v>
      </c>
      <c r="D98" s="348">
        <f t="shared" si="17"/>
        <v>45279.320957782424</v>
      </c>
      <c r="E98" s="349">
        <v>0.20124142647903301</v>
      </c>
      <c r="F98" s="348">
        <f t="shared" si="18"/>
        <v>116847.33164282543</v>
      </c>
      <c r="G98" s="349">
        <v>0.51932147396811301</v>
      </c>
      <c r="H98" s="348">
        <f t="shared" si="19"/>
        <v>12855.442209790748</v>
      </c>
      <c r="I98" s="349">
        <v>5.7135298710181102E-2</v>
      </c>
      <c r="J98" s="348">
        <f t="shared" si="20"/>
        <v>50017.905189601428</v>
      </c>
      <c r="K98" s="349">
        <v>0.22230180084267301</v>
      </c>
      <c r="L98" s="348">
        <f>'Table 4'!F99</f>
        <v>225000</v>
      </c>
      <c r="M98" s="348">
        <f>'Table 4'!I99</f>
        <v>225000</v>
      </c>
      <c r="N98" s="341"/>
      <c r="O98" s="342"/>
      <c r="P98" s="343" t="str">
        <f>'Table 4'!O99</f>
        <v>New project from Paynes Road DCP
Land on east side acquired</v>
      </c>
      <c r="Q98" s="341" t="s">
        <v>732</v>
      </c>
    </row>
    <row r="99" spans="1:38" s="316" customFormat="1" ht="56.25" x14ac:dyDescent="0.25">
      <c r="A99" s="352" t="s">
        <v>517</v>
      </c>
      <c r="B99" s="317" t="s">
        <v>226</v>
      </c>
      <c r="C99" s="372" t="str">
        <f>'Table 4'!C100</f>
        <v>Mount Cottrell Road Level Crossing Upgrade
Construction of an upgrade to the level crossing at the intersection of Mount Cottrell Road and the Melbourne-Ballarat rail corridor, including automatic gates and pedestrian crossings (ultimate standard). 
Note: Mount Cottrell Road level crossing will be closed upon completion of the construction of the Mount Cottrell Road Overpass (BD20).</v>
      </c>
      <c r="D99" s="348">
        <f t="shared" si="17"/>
        <v>231557.8436538199</v>
      </c>
      <c r="E99" s="349">
        <v>0.20124142647903301</v>
      </c>
      <c r="F99" s="348">
        <f t="shared" si="18"/>
        <v>597555.69605698728</v>
      </c>
      <c r="G99" s="349">
        <v>0.51932147396811301</v>
      </c>
      <c r="H99" s="348">
        <f t="shared" si="19"/>
        <v>65742.560054973757</v>
      </c>
      <c r="I99" s="349">
        <v>5.7135298710181102E-2</v>
      </c>
      <c r="J99" s="348">
        <f t="shared" si="20"/>
        <v>255790.90023421918</v>
      </c>
      <c r="K99" s="349">
        <v>0.22230180084267301</v>
      </c>
      <c r="L99" s="348">
        <f>'Table 4'!F100</f>
        <v>1534196</v>
      </c>
      <c r="M99" s="348">
        <f>'Table 4'!I100</f>
        <v>1150647</v>
      </c>
      <c r="N99" s="341"/>
      <c r="O99" s="342"/>
      <c r="P99" s="343" t="str">
        <f>'Table 4'!O100</f>
        <v>New project from Paynes Road DCP</v>
      </c>
      <c r="Q99" s="341" t="s">
        <v>730</v>
      </c>
    </row>
    <row r="100" spans="1:38" s="78" customFormat="1" x14ac:dyDescent="0.25">
      <c r="A100" s="369" t="s">
        <v>14</v>
      </c>
      <c r="B100" s="7"/>
      <c r="C100" s="369"/>
      <c r="D100" s="344">
        <f>SUM(D79:D99)</f>
        <v>13000080.458861873</v>
      </c>
      <c r="E100" s="345"/>
      <c r="F100" s="344">
        <f>SUM(F79:F99)</f>
        <v>33547868.665617917</v>
      </c>
      <c r="G100" s="345"/>
      <c r="H100" s="344">
        <f>SUM(H79:H99)</f>
        <v>3690907.4501658245</v>
      </c>
      <c r="I100" s="345"/>
      <c r="J100" s="344">
        <f>SUM(J79:J99)</f>
        <v>14360568.535354393</v>
      </c>
      <c r="K100" s="345"/>
      <c r="L100" s="344">
        <f>SUM(L79:L99)</f>
        <v>76611480.269999996</v>
      </c>
      <c r="M100" s="344">
        <f>SUM(M79:M99)</f>
        <v>64599425.109999999</v>
      </c>
      <c r="N100" s="346"/>
      <c r="O100" s="474"/>
      <c r="P100" s="347"/>
      <c r="Q100" s="346"/>
    </row>
    <row r="101" spans="1:38" s="77" customFormat="1" x14ac:dyDescent="0.25">
      <c r="A101" s="368" t="s">
        <v>303</v>
      </c>
      <c r="B101" s="227"/>
      <c r="C101" s="371"/>
      <c r="D101" s="337"/>
      <c r="E101" s="166"/>
      <c r="F101" s="337"/>
      <c r="G101" s="166"/>
      <c r="H101" s="337"/>
      <c r="I101" s="166"/>
      <c r="J101" s="337"/>
      <c r="K101" s="166"/>
      <c r="L101" s="337"/>
      <c r="M101" s="337"/>
      <c r="N101" s="338"/>
      <c r="O101" s="473"/>
      <c r="P101" s="1"/>
      <c r="Q101" s="338"/>
      <c r="R101" s="75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6"/>
      <c r="AG101" s="76"/>
      <c r="AH101" s="76"/>
      <c r="AI101" s="76"/>
      <c r="AJ101" s="76"/>
      <c r="AK101" s="76"/>
      <c r="AL101" s="74"/>
    </row>
    <row r="102" spans="1:38" s="318" customFormat="1" ht="22.5" x14ac:dyDescent="0.25">
      <c r="A102" s="352" t="s">
        <v>402</v>
      </c>
      <c r="B102" s="317" t="s">
        <v>226</v>
      </c>
      <c r="C102" s="372" t="str">
        <f>'Table 4'!C103</f>
        <v>Bus Interchange
Purchase land to provide for Local Bus Interchange (1 Hectare)</v>
      </c>
      <c r="D102" s="348">
        <f>M102*E102</f>
        <v>664096.7073808097</v>
      </c>
      <c r="E102" s="349">
        <v>0.20124142647903323</v>
      </c>
      <c r="F102" s="348">
        <f>M102*G102</f>
        <v>1713760.8640947714</v>
      </c>
      <c r="G102" s="349">
        <v>0.51932147396811257</v>
      </c>
      <c r="H102" s="348">
        <f>M102*I102</f>
        <v>188546.48574359767</v>
      </c>
      <c r="I102" s="349">
        <v>5.7135298710181116E-2</v>
      </c>
      <c r="J102" s="348">
        <f>M102*K102</f>
        <v>733595.94278082112</v>
      </c>
      <c r="K102" s="349">
        <v>0.22230180084267306</v>
      </c>
      <c r="L102" s="348">
        <f>'Table 4'!F103</f>
        <v>3300000</v>
      </c>
      <c r="M102" s="348">
        <f>'Table 4'!I103</f>
        <v>3300000</v>
      </c>
      <c r="N102" s="350" t="s">
        <v>403</v>
      </c>
      <c r="O102" s="351"/>
      <c r="P102" s="352" t="str">
        <f>'Table 4'!O103</f>
        <v>Land acquired</v>
      </c>
      <c r="Q102" s="350"/>
    </row>
    <row r="103" spans="1:38" s="78" customFormat="1" x14ac:dyDescent="0.25">
      <c r="A103" s="369" t="s">
        <v>14</v>
      </c>
      <c r="B103" s="7"/>
      <c r="C103" s="369"/>
      <c r="D103" s="344">
        <f>D102</f>
        <v>664096.7073808097</v>
      </c>
      <c r="E103" s="345"/>
      <c r="F103" s="344">
        <f t="shared" ref="F103:M103" si="21">F102</f>
        <v>1713760.8640947714</v>
      </c>
      <c r="G103" s="345"/>
      <c r="H103" s="344">
        <f t="shared" si="21"/>
        <v>188546.48574359767</v>
      </c>
      <c r="I103" s="345"/>
      <c r="J103" s="344">
        <f t="shared" si="21"/>
        <v>733595.94278082112</v>
      </c>
      <c r="K103" s="345"/>
      <c r="L103" s="344">
        <f t="shared" si="21"/>
        <v>3300000</v>
      </c>
      <c r="M103" s="344">
        <f t="shared" si="21"/>
        <v>3300000</v>
      </c>
      <c r="N103" s="346"/>
      <c r="O103" s="474"/>
      <c r="P103" s="347"/>
      <c r="Q103" s="346"/>
    </row>
    <row r="104" spans="1:38" s="77" customFormat="1" x14ac:dyDescent="0.25">
      <c r="A104" s="368" t="s">
        <v>360</v>
      </c>
      <c r="B104" s="227"/>
      <c r="C104" s="371"/>
      <c r="D104" s="337"/>
      <c r="E104" s="166"/>
      <c r="F104" s="337"/>
      <c r="G104" s="166"/>
      <c r="H104" s="337"/>
      <c r="I104" s="166"/>
      <c r="J104" s="337"/>
      <c r="K104" s="166"/>
      <c r="L104" s="337"/>
      <c r="M104" s="337"/>
      <c r="N104" s="338"/>
      <c r="O104" s="473"/>
      <c r="P104" s="1"/>
      <c r="Q104" s="338"/>
      <c r="R104" s="75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6"/>
      <c r="AG104" s="76"/>
      <c r="AH104" s="76"/>
      <c r="AI104" s="76"/>
      <c r="AJ104" s="76"/>
      <c r="AK104" s="76"/>
      <c r="AL104" s="74"/>
    </row>
    <row r="105" spans="1:38" s="73" customFormat="1" ht="22.5" x14ac:dyDescent="0.25">
      <c r="A105" s="208" t="s">
        <v>361</v>
      </c>
      <c r="B105" s="228" t="s">
        <v>226</v>
      </c>
      <c r="C105" s="373" t="str">
        <f>'Table 4'!C106</f>
        <v>Weir Views North Sports Reserve
Purchase of 9.83 hectares of land for active open space for AR01 and AR02</v>
      </c>
      <c r="D105" s="353">
        <f>M105*E105</f>
        <v>3851489.7057091864</v>
      </c>
      <c r="E105" s="354">
        <f t="shared" ref="E105:E110" si="22">D4/(D4+F4)</f>
        <v>0.28000652168005719</v>
      </c>
      <c r="F105" s="353">
        <f>M105*G105</f>
        <v>9903510.2942908145</v>
      </c>
      <c r="G105" s="354">
        <f t="shared" ref="G105:G110" si="23">F4/(D4+F4)</f>
        <v>0.71999347831994287</v>
      </c>
      <c r="H105" s="353">
        <v>0</v>
      </c>
      <c r="I105" s="354"/>
      <c r="J105" s="353">
        <v>0</v>
      </c>
      <c r="K105" s="354"/>
      <c r="L105" s="353">
        <f>'Table 4'!F106</f>
        <v>19650000</v>
      </c>
      <c r="M105" s="353">
        <f>'Table 4'!I106</f>
        <v>13755000</v>
      </c>
      <c r="N105" s="355"/>
      <c r="O105" s="356"/>
      <c r="P105" s="208" t="str">
        <f>'Table 4'!O106</f>
        <v>S173 Agreement to purchase land</v>
      </c>
      <c r="Q105" s="355"/>
    </row>
    <row r="106" spans="1:38" s="73" customFormat="1" ht="22.5" x14ac:dyDescent="0.25">
      <c r="A106" s="208" t="s">
        <v>362</v>
      </c>
      <c r="B106" s="228" t="s">
        <v>226</v>
      </c>
      <c r="C106" s="373" t="str">
        <f>'Table 4'!C107</f>
        <v>Weir Views East Sports Reserve
Purchase of 4.00 hectares of land for active open space for AR03 and AR04</v>
      </c>
      <c r="D106" s="353">
        <f t="shared" ref="D106:D110" si="24">M106*E106</f>
        <v>2688062.6081285486</v>
      </c>
      <c r="E106" s="354">
        <f t="shared" si="22"/>
        <v>0.28000652168005713</v>
      </c>
      <c r="F106" s="353">
        <f t="shared" ref="F106:F111" si="25">M106*G106</f>
        <v>6911937.3918714505</v>
      </c>
      <c r="G106" s="354">
        <f t="shared" si="23"/>
        <v>0.71999347831994276</v>
      </c>
      <c r="H106" s="353">
        <v>0</v>
      </c>
      <c r="I106" s="354"/>
      <c r="J106" s="353">
        <v>0</v>
      </c>
      <c r="K106" s="354"/>
      <c r="L106" s="353">
        <f>'Table 4'!F107</f>
        <v>9600000</v>
      </c>
      <c r="M106" s="353">
        <f>'Table 4'!I107</f>
        <v>9600000</v>
      </c>
      <c r="N106" s="355"/>
      <c r="O106" s="356"/>
      <c r="P106" s="208" t="str">
        <f>'Table 4'!O107</f>
        <v>S173 Agreement to purchase land</v>
      </c>
      <c r="Q106" s="355"/>
    </row>
    <row r="107" spans="1:38" s="73" customFormat="1" ht="22.5" x14ac:dyDescent="0.25">
      <c r="A107" s="208" t="s">
        <v>363</v>
      </c>
      <c r="B107" s="228" t="s">
        <v>226</v>
      </c>
      <c r="C107" s="373" t="str">
        <f>'Table 4'!C108</f>
        <v>Weir Views South Sports Reserve
Purchase of 8.96 hectares of land for active open space for AR05 and AR06</v>
      </c>
      <c r="D107" s="353">
        <f t="shared" si="24"/>
        <v>5006159.1672263285</v>
      </c>
      <c r="E107" s="354">
        <f t="shared" si="22"/>
        <v>0.27928363554958596</v>
      </c>
      <c r="F107" s="353">
        <f t="shared" si="25"/>
        <v>12918840.832773672</v>
      </c>
      <c r="G107" s="354">
        <f t="shared" si="23"/>
        <v>0.72071636445041409</v>
      </c>
      <c r="H107" s="353">
        <v>0</v>
      </c>
      <c r="I107" s="354"/>
      <c r="J107" s="353">
        <v>0</v>
      </c>
      <c r="K107" s="354"/>
      <c r="L107" s="353">
        <f>'Table 4'!F108</f>
        <v>17925000</v>
      </c>
      <c r="M107" s="353">
        <f>'Table 4'!I108</f>
        <v>17925000</v>
      </c>
      <c r="N107" s="355"/>
      <c r="O107" s="356"/>
      <c r="P107" s="208" t="str">
        <f>'Table 4'!O108</f>
        <v>Not acquired</v>
      </c>
      <c r="Q107" s="355"/>
    </row>
    <row r="108" spans="1:38" s="73" customFormat="1" ht="22.5" x14ac:dyDescent="0.25">
      <c r="A108" s="208" t="s">
        <v>364</v>
      </c>
      <c r="B108" s="228" t="s">
        <v>226</v>
      </c>
      <c r="C108" s="373" t="str">
        <f>'Table 4'!C109</f>
        <v>Strathtulloh Sports Reserve
Purchase of 8.62 hectares of land for active open space for AR07 and AR08</v>
      </c>
      <c r="D108" s="353">
        <f t="shared" si="24"/>
        <v>5536798.0747705419</v>
      </c>
      <c r="E108" s="354">
        <f t="shared" si="22"/>
        <v>0.27928363554958596</v>
      </c>
      <c r="F108" s="353">
        <f t="shared" si="25"/>
        <v>14288201.92522946</v>
      </c>
      <c r="G108" s="354">
        <f t="shared" si="23"/>
        <v>0.72071636445041409</v>
      </c>
      <c r="H108" s="353">
        <v>0</v>
      </c>
      <c r="I108" s="354"/>
      <c r="J108" s="353">
        <v>0</v>
      </c>
      <c r="K108" s="354"/>
      <c r="L108" s="353">
        <f>'Table 4'!F109</f>
        <v>19825000</v>
      </c>
      <c r="M108" s="353">
        <f>'Table 4'!I109</f>
        <v>19825000</v>
      </c>
      <c r="N108" s="355"/>
      <c r="O108" s="356"/>
      <c r="P108" s="208" t="str">
        <f>'Table 4'!O109</f>
        <v>Not acquired</v>
      </c>
      <c r="Q108" s="355"/>
    </row>
    <row r="109" spans="1:38" s="73" customFormat="1" ht="22.5" x14ac:dyDescent="0.25">
      <c r="A109" s="208" t="s">
        <v>365</v>
      </c>
      <c r="B109" s="228" t="s">
        <v>226</v>
      </c>
      <c r="C109" s="373" t="str">
        <f>'Table 4'!C110</f>
        <v>Thornhill Park Sports Reserve
Purchase of 8.69 hectares of land for active open space for AR09 and AR10</v>
      </c>
      <c r="D109" s="353">
        <f t="shared" si="24"/>
        <v>5578690.6201029783</v>
      </c>
      <c r="E109" s="354">
        <f t="shared" si="22"/>
        <v>0.27928363554958591</v>
      </c>
      <c r="F109" s="353">
        <f t="shared" si="25"/>
        <v>14396309.379897021</v>
      </c>
      <c r="G109" s="354">
        <f t="shared" si="23"/>
        <v>0.72071636445041409</v>
      </c>
      <c r="H109" s="353">
        <v>0</v>
      </c>
      <c r="I109" s="354"/>
      <c r="J109" s="353">
        <v>0</v>
      </c>
      <c r="K109" s="354"/>
      <c r="L109" s="353">
        <f>'Table 4'!F110</f>
        <v>19975000</v>
      </c>
      <c r="M109" s="353">
        <f>'Table 4'!I110</f>
        <v>19975000</v>
      </c>
      <c r="N109" s="355"/>
      <c r="O109" s="356"/>
      <c r="P109" s="208" t="str">
        <f>'Table 4'!O110</f>
        <v>Not acquired</v>
      </c>
      <c r="Q109" s="355"/>
    </row>
    <row r="110" spans="1:38" s="73" customFormat="1" ht="22.5" x14ac:dyDescent="0.25">
      <c r="A110" s="208" t="s">
        <v>366</v>
      </c>
      <c r="B110" s="228" t="s">
        <v>226</v>
      </c>
      <c r="C110" s="373" t="str">
        <f>'Table 4'!C111</f>
        <v>Cobblebank East Sports Reserve
Purchase of 4.56 hectares of land for active open space for AR11 and AR12</v>
      </c>
      <c r="D110" s="353">
        <f t="shared" si="24"/>
        <v>3435188.7172599072</v>
      </c>
      <c r="E110" s="354">
        <f t="shared" si="22"/>
        <v>0.27928363554958596</v>
      </c>
      <c r="F110" s="353">
        <f t="shared" si="25"/>
        <v>8864811.2827400938</v>
      </c>
      <c r="G110" s="354">
        <f t="shared" si="23"/>
        <v>0.72071636445041409</v>
      </c>
      <c r="H110" s="353">
        <v>0</v>
      </c>
      <c r="I110" s="354"/>
      <c r="J110" s="353">
        <v>0</v>
      </c>
      <c r="K110" s="354"/>
      <c r="L110" s="353">
        <f>'Table 4'!F111</f>
        <v>12300000</v>
      </c>
      <c r="M110" s="353">
        <f>'Table 4'!I111</f>
        <v>12300000</v>
      </c>
      <c r="N110" s="355"/>
      <c r="O110" s="356"/>
      <c r="P110" s="208" t="str">
        <f>'Table 4'!O111</f>
        <v>Not acquired</v>
      </c>
      <c r="Q110" s="355"/>
    </row>
    <row r="111" spans="1:38" s="73" customFormat="1" ht="22.5" x14ac:dyDescent="0.25">
      <c r="A111" s="208" t="s">
        <v>367</v>
      </c>
      <c r="B111" s="228" t="s">
        <v>226</v>
      </c>
      <c r="C111" s="373" t="str">
        <f>'Table 4'!C112</f>
        <v>Cobblebank Central Sports Reserve
Purchase of 8.19 hectares of land for active open space for AR13 and AR14. Area 2 Contributions (60%)</v>
      </c>
      <c r="D111" s="353">
        <v>0</v>
      </c>
      <c r="E111" s="354"/>
      <c r="F111" s="353">
        <f t="shared" si="25"/>
        <v>11295000</v>
      </c>
      <c r="G111" s="354">
        <v>1</v>
      </c>
      <c r="H111" s="353">
        <v>0</v>
      </c>
      <c r="I111" s="354"/>
      <c r="J111" s="353">
        <v>0</v>
      </c>
      <c r="K111" s="354"/>
      <c r="L111" s="353">
        <f>'Table 4'!F112</f>
        <v>11295000</v>
      </c>
      <c r="M111" s="353">
        <f>'Table 4'!I112</f>
        <v>11295000</v>
      </c>
      <c r="N111" s="355"/>
      <c r="O111" s="356"/>
      <c r="P111" s="208" t="str">
        <f>'Table 4'!O112</f>
        <v>Not acquired</v>
      </c>
      <c r="Q111" s="355"/>
    </row>
    <row r="112" spans="1:38" s="73" customFormat="1" ht="22.5" x14ac:dyDescent="0.25">
      <c r="A112" s="208" t="s">
        <v>368</v>
      </c>
      <c r="B112" s="228" t="s">
        <v>226</v>
      </c>
      <c r="C112" s="373" t="str">
        <f>'Table 4'!C113</f>
        <v>Cobblebank Central Sports Reserve
Purchase of 8.19 hectares of land for active open space for AR13 and AR14. Area 3 Contributions (40%)</v>
      </c>
      <c r="D112" s="353">
        <v>0</v>
      </c>
      <c r="E112" s="354"/>
      <c r="F112" s="353">
        <v>0</v>
      </c>
      <c r="G112" s="354"/>
      <c r="H112" s="353">
        <f>M112*I112</f>
        <v>7530000</v>
      </c>
      <c r="I112" s="354">
        <v>1</v>
      </c>
      <c r="J112" s="353">
        <v>0</v>
      </c>
      <c r="K112" s="354"/>
      <c r="L112" s="353">
        <f>'Table 4'!F113</f>
        <v>7530000</v>
      </c>
      <c r="M112" s="353">
        <f>'Table 4'!I113</f>
        <v>7530000</v>
      </c>
      <c r="N112" s="355"/>
      <c r="O112" s="356"/>
      <c r="P112" s="208" t="str">
        <f>'Table 4'!O113</f>
        <v>Not acquired</v>
      </c>
      <c r="Q112" s="355"/>
      <c r="R112" s="238"/>
      <c r="S112" s="238"/>
      <c r="T112" s="238"/>
    </row>
    <row r="113" spans="1:38" s="73" customFormat="1" ht="22.5" x14ac:dyDescent="0.25">
      <c r="A113" s="208" t="s">
        <v>369</v>
      </c>
      <c r="B113" s="228" t="s">
        <v>226</v>
      </c>
      <c r="C113" s="373" t="str">
        <f>'Table 4'!C114</f>
        <v>Cobblebank MAC Open Space
Purchase of 1.0 hectare for Metropolitan Activity Centre Public Open Space</v>
      </c>
      <c r="D113" s="353">
        <f>M113*E113</f>
        <v>543351.85149338969</v>
      </c>
      <c r="E113" s="354">
        <v>0.20124142647903323</v>
      </c>
      <c r="F113" s="353">
        <f>M113*G113</f>
        <v>1402167.979713904</v>
      </c>
      <c r="G113" s="354">
        <v>0.51932147396811257</v>
      </c>
      <c r="H113" s="353">
        <f>M113*I113</f>
        <v>154265.30651748902</v>
      </c>
      <c r="I113" s="354">
        <v>5.7135298710181116E-2</v>
      </c>
      <c r="J113" s="353">
        <f>M113*K113</f>
        <v>600214.86227521731</v>
      </c>
      <c r="K113" s="354">
        <v>0.22230180084267306</v>
      </c>
      <c r="L113" s="353">
        <f>'Table 4'!F114</f>
        <v>2700000</v>
      </c>
      <c r="M113" s="353">
        <f>'Table 4'!I114</f>
        <v>2700000</v>
      </c>
      <c r="N113" s="355"/>
      <c r="O113" s="356"/>
      <c r="P113" s="208" t="str">
        <f>'Table 4'!O114</f>
        <v>Not acquired</v>
      </c>
      <c r="Q113" s="355"/>
    </row>
    <row r="114" spans="1:38" s="78" customFormat="1" x14ac:dyDescent="0.25">
      <c r="A114" s="369" t="s">
        <v>14</v>
      </c>
      <c r="B114" s="7"/>
      <c r="C114" s="369"/>
      <c r="D114" s="344">
        <f>SUM(D105:D113)</f>
        <v>26639740.74469088</v>
      </c>
      <c r="E114" s="345"/>
      <c r="F114" s="344">
        <f t="shared" ref="F114:M114" si="26">SUM(F105:F113)</f>
        <v>79980779.08651641</v>
      </c>
      <c r="G114" s="345"/>
      <c r="H114" s="344">
        <f t="shared" si="26"/>
        <v>7684265.3065174893</v>
      </c>
      <c r="I114" s="345"/>
      <c r="J114" s="344">
        <f t="shared" si="26"/>
        <v>600214.86227521731</v>
      </c>
      <c r="K114" s="345"/>
      <c r="L114" s="344">
        <f t="shared" si="26"/>
        <v>120800000</v>
      </c>
      <c r="M114" s="344">
        <f t="shared" si="26"/>
        <v>114905000</v>
      </c>
      <c r="N114" s="346"/>
      <c r="O114" s="474"/>
      <c r="P114" s="347"/>
      <c r="Q114" s="346"/>
    </row>
    <row r="115" spans="1:38" s="77" customFormat="1" x14ac:dyDescent="0.25">
      <c r="A115" s="368" t="s">
        <v>305</v>
      </c>
      <c r="B115" s="227"/>
      <c r="C115" s="371"/>
      <c r="D115" s="337"/>
      <c r="E115" s="166"/>
      <c r="F115" s="337"/>
      <c r="G115" s="166"/>
      <c r="H115" s="337"/>
      <c r="I115" s="166"/>
      <c r="J115" s="337"/>
      <c r="K115" s="166"/>
      <c r="L115" s="337"/>
      <c r="M115" s="337"/>
      <c r="N115" s="338"/>
      <c r="O115" s="473"/>
      <c r="P115" s="1"/>
      <c r="Q115" s="338"/>
      <c r="R115" s="75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6"/>
      <c r="AG115" s="76"/>
      <c r="AH115" s="76"/>
      <c r="AI115" s="76"/>
      <c r="AJ115" s="76"/>
      <c r="AK115" s="76"/>
      <c r="AL115" s="74"/>
    </row>
    <row r="116" spans="1:38" s="316" customFormat="1" ht="22.5" x14ac:dyDescent="0.25">
      <c r="A116" s="352" t="s">
        <v>306</v>
      </c>
      <c r="B116" s="317" t="s">
        <v>226</v>
      </c>
      <c r="C116" s="372" t="str">
        <f>'Table 4'!C117</f>
        <v>Cobblebank Higher Order Civic Facility
Higher Order Civic Facility, including a Level 3 Community Centre, located within the Metropolitan Activity Centre.</v>
      </c>
      <c r="D116" s="348">
        <f>M116*E116</f>
        <v>0</v>
      </c>
      <c r="E116" s="349">
        <f>D4/(D4+F4+H4)</f>
        <v>0.25988885806283463</v>
      </c>
      <c r="F116" s="348">
        <f>M116*G116</f>
        <v>0</v>
      </c>
      <c r="G116" s="349">
        <f>F4/(D4+F4+H4)</f>
        <v>0.66826401674695457</v>
      </c>
      <c r="H116" s="348">
        <f t="shared" ref="H116:H117" si="27">M116*I116</f>
        <v>0</v>
      </c>
      <c r="I116" s="349">
        <f>H4/(D4+F4+H4)</f>
        <v>7.1847125190210775E-2</v>
      </c>
      <c r="J116" s="348">
        <v>0</v>
      </c>
      <c r="K116" s="349"/>
      <c r="L116" s="348">
        <f>'Table 4'!F117</f>
        <v>0</v>
      </c>
      <c r="M116" s="348">
        <f>'Table 4'!I117</f>
        <v>0</v>
      </c>
      <c r="N116" s="341"/>
      <c r="O116" s="357"/>
      <c r="P116" s="358" t="str">
        <f>'Table 4'!O117</f>
        <v>Not commenced</v>
      </c>
      <c r="Q116" s="341"/>
    </row>
    <row r="117" spans="1:38" s="316" customFormat="1" ht="22.5" x14ac:dyDescent="0.25">
      <c r="A117" s="352" t="s">
        <v>308</v>
      </c>
      <c r="B117" s="317" t="s">
        <v>226</v>
      </c>
      <c r="C117" s="372" t="str">
        <f>'Table 4'!C118</f>
        <v>Cobblebank Indoor Recreation Centre
Indoor Recreation Centre located within the Metropolitan Activity Centre.</v>
      </c>
      <c r="D117" s="348">
        <f>M117*E117</f>
        <v>0</v>
      </c>
      <c r="E117" s="349">
        <f>D5/(D5+F5+H5)</f>
        <v>0.25988885806283463</v>
      </c>
      <c r="F117" s="348">
        <f>M117*G117</f>
        <v>0</v>
      </c>
      <c r="G117" s="349">
        <f>F5/(D5+F5+H5)</f>
        <v>0.66826401674695457</v>
      </c>
      <c r="H117" s="348">
        <f t="shared" si="27"/>
        <v>0</v>
      </c>
      <c r="I117" s="349">
        <f>H5/(D5+F5+H5)</f>
        <v>7.1847125190210762E-2</v>
      </c>
      <c r="J117" s="348">
        <v>0</v>
      </c>
      <c r="K117" s="349"/>
      <c r="L117" s="348">
        <f>'Table 4'!F118</f>
        <v>0</v>
      </c>
      <c r="M117" s="348">
        <f>'Table 4'!I118</f>
        <v>0</v>
      </c>
      <c r="N117" s="341"/>
      <c r="O117" s="357"/>
      <c r="P117" s="358" t="str">
        <f>'Table 4'!O118</f>
        <v>Constructed</v>
      </c>
      <c r="Q117" s="341"/>
    </row>
    <row r="118" spans="1:38" s="316" customFormat="1" ht="33.75" x14ac:dyDescent="0.25">
      <c r="A118" s="343" t="s">
        <v>499</v>
      </c>
      <c r="B118" s="315" t="s">
        <v>226</v>
      </c>
      <c r="C118" s="372" t="str">
        <f>'Table 4'!C119</f>
        <v>Weir Views North Community Centre
Purchase of land and construction of a multi-purpose community centre (Level 1) in Community Hub 1 - early childhood rooms component - including kindergarten and maternal health.</v>
      </c>
      <c r="D118" s="348">
        <f t="shared" ref="D118:D121" si="28">M118*E118</f>
        <v>7463910.9999999991</v>
      </c>
      <c r="E118" s="349">
        <v>1</v>
      </c>
      <c r="F118" s="348">
        <v>0</v>
      </c>
      <c r="G118" s="349"/>
      <c r="H118" s="348">
        <v>0</v>
      </c>
      <c r="I118" s="349"/>
      <c r="J118" s="348">
        <v>0</v>
      </c>
      <c r="K118" s="349"/>
      <c r="L118" s="348">
        <f>'Table 4'!F119</f>
        <v>10662730</v>
      </c>
      <c r="M118" s="348">
        <f>'Table 4'!I119</f>
        <v>7463910.9999999991</v>
      </c>
      <c r="N118" s="341"/>
      <c r="O118" s="342"/>
      <c r="P118" s="343" t="str">
        <f>'Table 4'!O119</f>
        <v>S173 Agreement to purchase land</v>
      </c>
      <c r="Q118" s="341"/>
    </row>
    <row r="119" spans="1:38" s="316" customFormat="1" ht="22.5" x14ac:dyDescent="0.25">
      <c r="A119" s="343" t="s">
        <v>500</v>
      </c>
      <c r="B119" s="315" t="s">
        <v>226</v>
      </c>
      <c r="C119" s="372" t="str">
        <f>'Table 4'!C120</f>
        <v>Weir Views North Community Centre
Construction of a multi-purpose community centre (Level 1) in Community Hub 1 - community rooms component.</v>
      </c>
      <c r="D119" s="348">
        <f>L119*E119</f>
        <v>723419</v>
      </c>
      <c r="E119" s="349">
        <v>1</v>
      </c>
      <c r="F119" s="348">
        <v>0</v>
      </c>
      <c r="G119" s="349"/>
      <c r="H119" s="348">
        <v>0</v>
      </c>
      <c r="I119" s="349"/>
      <c r="J119" s="348">
        <v>0</v>
      </c>
      <c r="K119" s="349"/>
      <c r="L119" s="348">
        <f>'Table 4'!F120</f>
        <v>723419</v>
      </c>
      <c r="M119" s="348" t="str">
        <f>'Table 4'!I120</f>
        <v>Funded via the CIL</v>
      </c>
      <c r="N119" s="341"/>
      <c r="O119" s="342"/>
      <c r="P119" s="343" t="str">
        <f>'Table 4'!O120</f>
        <v>Not commenced</v>
      </c>
      <c r="Q119" s="341"/>
    </row>
    <row r="120" spans="1:38" s="316" customFormat="1" ht="22.5" x14ac:dyDescent="0.25">
      <c r="A120" s="343" t="s">
        <v>518</v>
      </c>
      <c r="B120" s="315" t="s">
        <v>313</v>
      </c>
      <c r="C120" s="372" t="str">
        <f>'Table 4'!C121</f>
        <v>Deleted</v>
      </c>
      <c r="D120" s="348">
        <f>N120*E120</f>
        <v>0</v>
      </c>
      <c r="E120" s="349">
        <v>1</v>
      </c>
      <c r="F120" s="348">
        <v>0</v>
      </c>
      <c r="G120" s="349"/>
      <c r="H120" s="348">
        <v>0</v>
      </c>
      <c r="I120" s="349"/>
      <c r="J120" s="348">
        <v>0</v>
      </c>
      <c r="K120" s="349"/>
      <c r="L120" s="348">
        <f>'Table 4'!F121</f>
        <v>0</v>
      </c>
      <c r="M120" s="348">
        <f>'Table 4'!I121</f>
        <v>0</v>
      </c>
      <c r="N120" s="341">
        <f>'Table 4'!F121-('Table 4'!F121*'Table 4'!G121)</f>
        <v>0</v>
      </c>
      <c r="O120" s="342"/>
      <c r="P120" s="343" t="str">
        <f>'Table 4'!O121</f>
        <v>Project deleted as Council does not include childcare rooms in early childhood centres</v>
      </c>
      <c r="Q120" s="341"/>
    </row>
    <row r="121" spans="1:38" s="316" customFormat="1" ht="33.75" x14ac:dyDescent="0.25">
      <c r="A121" s="343" t="s">
        <v>501</v>
      </c>
      <c r="B121" s="315" t="s">
        <v>226</v>
      </c>
      <c r="C121" s="372" t="str">
        <f>'Table 4'!C122</f>
        <v>Weir Views South Community Centre
Purchase of land and construction of a multi-purpose community centre (Level 2) in Community Hub 2 - early childhood rooms component - including kindergarten and maternal health.</v>
      </c>
      <c r="D121" s="348">
        <f t="shared" si="28"/>
        <v>12093525</v>
      </c>
      <c r="E121" s="349">
        <v>1</v>
      </c>
      <c r="F121" s="348">
        <v>0</v>
      </c>
      <c r="G121" s="349"/>
      <c r="H121" s="348">
        <v>0</v>
      </c>
      <c r="I121" s="349"/>
      <c r="J121" s="348">
        <v>0</v>
      </c>
      <c r="K121" s="349"/>
      <c r="L121" s="348">
        <f>'Table 4'!F122</f>
        <v>12093525</v>
      </c>
      <c r="M121" s="348">
        <f>'Table 4'!I122</f>
        <v>12093525</v>
      </c>
      <c r="N121" s="341">
        <f>'Table 4'!F122-('Table 4'!F122*'Table 4'!G122)</f>
        <v>12093525</v>
      </c>
      <c r="O121" s="342"/>
      <c r="P121" s="343" t="str">
        <f>'Table 4'!O122</f>
        <v>Not commenced</v>
      </c>
      <c r="Q121" s="341"/>
    </row>
    <row r="122" spans="1:38" s="316" customFormat="1" ht="22.5" x14ac:dyDescent="0.25">
      <c r="A122" s="343" t="s">
        <v>541</v>
      </c>
      <c r="B122" s="315" t="s">
        <v>226</v>
      </c>
      <c r="C122" s="372" t="str">
        <f>'Table 4'!C123</f>
        <v>Weir Views South Community Centre
Construction of a multi-purpose community centre (Level 2) in Community Hub 2 - community rooms component.</v>
      </c>
      <c r="D122" s="348">
        <f>L122*E122</f>
        <v>1389726</v>
      </c>
      <c r="E122" s="349">
        <v>1</v>
      </c>
      <c r="F122" s="348">
        <v>0</v>
      </c>
      <c r="G122" s="349"/>
      <c r="H122" s="348">
        <v>0</v>
      </c>
      <c r="I122" s="349"/>
      <c r="J122" s="348">
        <v>0</v>
      </c>
      <c r="K122" s="349"/>
      <c r="L122" s="348">
        <f>'Table 4'!F123</f>
        <v>1389726</v>
      </c>
      <c r="M122" s="348" t="str">
        <f>'Table 4'!I123</f>
        <v>Funded via the CIL</v>
      </c>
      <c r="N122" s="341">
        <f>'Table 4'!F123-('Table 4'!F123*'Table 4'!G123)</f>
        <v>1389726</v>
      </c>
      <c r="O122" s="342"/>
      <c r="P122" s="343" t="str">
        <f>'Table 4'!O123</f>
        <v>Not commenced</v>
      </c>
      <c r="Q122" s="341"/>
    </row>
    <row r="123" spans="1:38" s="316" customFormat="1" ht="22.5" x14ac:dyDescent="0.25">
      <c r="A123" s="343" t="s">
        <v>519</v>
      </c>
      <c r="B123" s="315" t="s">
        <v>313</v>
      </c>
      <c r="C123" s="372" t="str">
        <f>'Table 4'!C124</f>
        <v>Deleted</v>
      </c>
      <c r="D123" s="348">
        <f>N123*E123</f>
        <v>0</v>
      </c>
      <c r="E123" s="349">
        <v>1</v>
      </c>
      <c r="F123" s="348">
        <v>0</v>
      </c>
      <c r="G123" s="349"/>
      <c r="H123" s="348">
        <v>0</v>
      </c>
      <c r="I123" s="349"/>
      <c r="J123" s="348">
        <v>0</v>
      </c>
      <c r="K123" s="349"/>
      <c r="L123" s="348">
        <f>'Table 4'!F124</f>
        <v>0</v>
      </c>
      <c r="M123" s="348">
        <f>'Table 4'!I124</f>
        <v>0</v>
      </c>
      <c r="N123" s="341">
        <f>'Table 4'!F124-('Table 4'!F124*'Table 4'!G124)</f>
        <v>0</v>
      </c>
      <c r="O123" s="342"/>
      <c r="P123" s="343" t="str">
        <f>'Table 4'!O124</f>
        <v>Project deleted as Council does not include childcare rooms in early childhood centres</v>
      </c>
      <c r="Q123" s="341"/>
    </row>
    <row r="124" spans="1:38" s="316" customFormat="1" ht="33.75" x14ac:dyDescent="0.25">
      <c r="A124" s="343" t="s">
        <v>542</v>
      </c>
      <c r="B124" s="315" t="s">
        <v>226</v>
      </c>
      <c r="C124" s="372" t="str">
        <f>'Table 4'!C125</f>
        <v>Strathtulloh Community Centre
Purchase of land and construction of a multi-purpose community centre (Level 1) in Community Hub 3 - early childhood rooms component - including kindergarten and maternal health.</v>
      </c>
      <c r="D124" s="348">
        <v>0</v>
      </c>
      <c r="E124" s="349"/>
      <c r="F124" s="348">
        <f>M124*G124</f>
        <v>10812730</v>
      </c>
      <c r="G124" s="349">
        <v>1</v>
      </c>
      <c r="H124" s="348">
        <v>0</v>
      </c>
      <c r="I124" s="349"/>
      <c r="J124" s="348">
        <v>0</v>
      </c>
      <c r="K124" s="349"/>
      <c r="L124" s="348">
        <f>'Table 4'!F125</f>
        <v>10812730</v>
      </c>
      <c r="M124" s="348">
        <f>'Table 4'!I125</f>
        <v>10812730</v>
      </c>
      <c r="N124" s="341">
        <f>'Table 4'!F125-('Table 4'!F125*'Table 4'!G125)</f>
        <v>10812730</v>
      </c>
      <c r="O124" s="342"/>
      <c r="P124" s="343" t="str">
        <f>'Table 4'!O125</f>
        <v>Not commenced</v>
      </c>
      <c r="Q124" s="341"/>
    </row>
    <row r="125" spans="1:38" s="316" customFormat="1" ht="22.5" x14ac:dyDescent="0.25">
      <c r="A125" s="343" t="s">
        <v>543</v>
      </c>
      <c r="B125" s="315" t="s">
        <v>226</v>
      </c>
      <c r="C125" s="372" t="str">
        <f>'Table 4'!C126</f>
        <v>Strathtulloh Community Centre
Construction of a multi-purpose community centre (Level 1) in Community Hub 3 - community rooms component.</v>
      </c>
      <c r="D125" s="348">
        <v>0</v>
      </c>
      <c r="E125" s="349"/>
      <c r="F125" s="348">
        <f>L125*G125</f>
        <v>723419</v>
      </c>
      <c r="G125" s="349">
        <v>1</v>
      </c>
      <c r="H125" s="348">
        <v>0</v>
      </c>
      <c r="I125" s="349"/>
      <c r="J125" s="348">
        <v>0</v>
      </c>
      <c r="K125" s="349"/>
      <c r="L125" s="348">
        <f>'Table 4'!F126</f>
        <v>723419</v>
      </c>
      <c r="M125" s="348" t="str">
        <f>'Table 4'!I126</f>
        <v>Funded via the CIL</v>
      </c>
      <c r="N125" s="341">
        <f>'Table 4'!F126-('Table 4'!F126*'Table 4'!G126)</f>
        <v>723419</v>
      </c>
      <c r="O125" s="342"/>
      <c r="P125" s="343" t="str">
        <f>'Table 4'!O126</f>
        <v>Not commenced</v>
      </c>
      <c r="Q125" s="341"/>
    </row>
    <row r="126" spans="1:38" s="316" customFormat="1" ht="22.5" x14ac:dyDescent="0.25">
      <c r="A126" s="343" t="s">
        <v>520</v>
      </c>
      <c r="B126" s="315" t="s">
        <v>313</v>
      </c>
      <c r="C126" s="372" t="str">
        <f>'Table 4'!C127</f>
        <v>Deleted</v>
      </c>
      <c r="D126" s="348">
        <v>0</v>
      </c>
      <c r="E126" s="349"/>
      <c r="F126" s="348">
        <f>N126*G126</f>
        <v>0</v>
      </c>
      <c r="G126" s="349">
        <v>1</v>
      </c>
      <c r="H126" s="348">
        <v>0</v>
      </c>
      <c r="I126" s="349"/>
      <c r="J126" s="348">
        <v>0</v>
      </c>
      <c r="K126" s="349"/>
      <c r="L126" s="348">
        <f>'Table 4'!F127</f>
        <v>0</v>
      </c>
      <c r="M126" s="348">
        <f>'Table 4'!I127</f>
        <v>0</v>
      </c>
      <c r="N126" s="341">
        <f>'Table 4'!F127-('Table 4'!F127*'Table 4'!G127)</f>
        <v>0</v>
      </c>
      <c r="O126" s="342"/>
      <c r="P126" s="343" t="str">
        <f>'Table 4'!O127</f>
        <v>Project deleted as Council does not include childcare rooms in early childhood centres</v>
      </c>
      <c r="Q126" s="341"/>
    </row>
    <row r="127" spans="1:38" s="316" customFormat="1" ht="33.75" x14ac:dyDescent="0.25">
      <c r="A127" s="343" t="s">
        <v>544</v>
      </c>
      <c r="B127" s="315" t="s">
        <v>226</v>
      </c>
      <c r="C127" s="372" t="str">
        <f>'Table 4'!C128</f>
        <v>Thornhill Park Community Centre
Purchase of land and construction of a multi-purpose community centre (Level 1) in Community Hub 4 - early childhood rooms component - including kindergarten and maternal health.</v>
      </c>
      <c r="D127" s="348">
        <v>0</v>
      </c>
      <c r="E127" s="349"/>
      <c r="F127" s="348">
        <f>M127*G127</f>
        <v>10812730</v>
      </c>
      <c r="G127" s="349">
        <v>1</v>
      </c>
      <c r="H127" s="348">
        <v>0</v>
      </c>
      <c r="I127" s="349"/>
      <c r="J127" s="348">
        <v>0</v>
      </c>
      <c r="K127" s="349"/>
      <c r="L127" s="348">
        <f>'Table 4'!F128</f>
        <v>10812730</v>
      </c>
      <c r="M127" s="348">
        <f>'Table 4'!I128</f>
        <v>10812730</v>
      </c>
      <c r="N127" s="341">
        <f>'Table 4'!F128-('Table 4'!F128*'Table 4'!G128)</f>
        <v>10812730</v>
      </c>
      <c r="O127" s="342"/>
      <c r="P127" s="343" t="str">
        <f>'Table 4'!O128</f>
        <v>Not commenced</v>
      </c>
      <c r="Q127" s="341"/>
    </row>
    <row r="128" spans="1:38" s="316" customFormat="1" ht="22.5" x14ac:dyDescent="0.25">
      <c r="A128" s="343" t="s">
        <v>545</v>
      </c>
      <c r="B128" s="315" t="s">
        <v>226</v>
      </c>
      <c r="C128" s="372" t="str">
        <f>'Table 4'!C129</f>
        <v>Thornhill Park Community Centre
Construction of a multi-purpose community centre (Level 1) in Community Hub 4 - community rooms component.</v>
      </c>
      <c r="D128" s="348">
        <v>0</v>
      </c>
      <c r="E128" s="349"/>
      <c r="F128" s="348">
        <f>L128*G128</f>
        <v>723419</v>
      </c>
      <c r="G128" s="349">
        <v>1</v>
      </c>
      <c r="H128" s="348">
        <v>0</v>
      </c>
      <c r="I128" s="349"/>
      <c r="J128" s="348">
        <v>0</v>
      </c>
      <c r="K128" s="349"/>
      <c r="L128" s="348">
        <f>'Table 4'!F129</f>
        <v>723419</v>
      </c>
      <c r="M128" s="348" t="str">
        <f>'Table 4'!I129</f>
        <v>Funded via the CIL</v>
      </c>
      <c r="N128" s="341">
        <f>'Table 4'!F129-('Table 4'!F129*'Table 4'!G129)</f>
        <v>723419</v>
      </c>
      <c r="O128" s="342"/>
      <c r="P128" s="343" t="str">
        <f>'Table 4'!O129</f>
        <v>Not commenced</v>
      </c>
      <c r="Q128" s="341"/>
    </row>
    <row r="129" spans="1:38" s="316" customFormat="1" ht="22.5" x14ac:dyDescent="0.25">
      <c r="A129" s="343" t="s">
        <v>521</v>
      </c>
      <c r="B129" s="315" t="s">
        <v>313</v>
      </c>
      <c r="C129" s="372" t="str">
        <f>'Table 4'!C130</f>
        <v>Deleted</v>
      </c>
      <c r="D129" s="348">
        <v>0</v>
      </c>
      <c r="E129" s="349"/>
      <c r="F129" s="348">
        <f>N129*G129</f>
        <v>0</v>
      </c>
      <c r="G129" s="349">
        <v>1</v>
      </c>
      <c r="H129" s="348">
        <v>0</v>
      </c>
      <c r="I129" s="349"/>
      <c r="J129" s="348">
        <v>0</v>
      </c>
      <c r="K129" s="349"/>
      <c r="L129" s="348">
        <f>'Table 4'!F130</f>
        <v>0</v>
      </c>
      <c r="M129" s="348">
        <f>'Table 4'!I130</f>
        <v>0</v>
      </c>
      <c r="N129" s="341">
        <f>'Table 4'!F130-('Table 4'!F130*'Table 4'!G130)</f>
        <v>0</v>
      </c>
      <c r="O129" s="342"/>
      <c r="P129" s="343" t="str">
        <f>'Table 4'!O130</f>
        <v>Project deleted as Council does not include childcare rooms in early childhood centres</v>
      </c>
      <c r="Q129" s="341"/>
    </row>
    <row r="130" spans="1:38" s="316" customFormat="1" ht="33.75" x14ac:dyDescent="0.25">
      <c r="A130" s="343" t="s">
        <v>546</v>
      </c>
      <c r="B130" s="315" t="s">
        <v>226</v>
      </c>
      <c r="C130" s="372" t="str">
        <f>'Table 4'!C131</f>
        <v>Cobblebank East Community Centre
Purchase of land and construction of a multi-purpose community centre (Level 2) in Community Hub 5 - early childhood rooms component - including kindergarten and maternal health.</v>
      </c>
      <c r="D130" s="348">
        <v>0</v>
      </c>
      <c r="E130" s="349"/>
      <c r="F130" s="348">
        <f>M130*G130</f>
        <v>12293525</v>
      </c>
      <c r="G130" s="349">
        <v>1</v>
      </c>
      <c r="H130" s="348">
        <v>0</v>
      </c>
      <c r="I130" s="349"/>
      <c r="J130" s="348">
        <v>0</v>
      </c>
      <c r="K130" s="349"/>
      <c r="L130" s="348">
        <f>'Table 4'!F131</f>
        <v>12293525</v>
      </c>
      <c r="M130" s="348">
        <f>'Table 4'!I131</f>
        <v>12293525</v>
      </c>
      <c r="N130" s="341">
        <f>'Table 4'!F131-('Table 4'!F131*'Table 4'!G131)</f>
        <v>12293525</v>
      </c>
      <c r="O130" s="342"/>
      <c r="P130" s="343" t="str">
        <f>'Table 4'!O131</f>
        <v>Not commenced</v>
      </c>
      <c r="Q130" s="341"/>
    </row>
    <row r="131" spans="1:38" s="316" customFormat="1" ht="22.5" x14ac:dyDescent="0.25">
      <c r="A131" s="343" t="s">
        <v>547</v>
      </c>
      <c r="B131" s="315" t="s">
        <v>226</v>
      </c>
      <c r="C131" s="372" t="str">
        <f>'Table 4'!C132</f>
        <v>Cobblebank East Community Centre
Construction of a multi-purpose community centre (Level 2) in Community Hub 5 - community rooms component.</v>
      </c>
      <c r="D131" s="348">
        <v>0</v>
      </c>
      <c r="E131" s="349"/>
      <c r="F131" s="348">
        <f>L131*G131</f>
        <v>1389726</v>
      </c>
      <c r="G131" s="349">
        <v>1</v>
      </c>
      <c r="H131" s="348">
        <v>0</v>
      </c>
      <c r="I131" s="349"/>
      <c r="J131" s="348">
        <v>0</v>
      </c>
      <c r="K131" s="349"/>
      <c r="L131" s="348">
        <f>'Table 4'!F132</f>
        <v>1389726</v>
      </c>
      <c r="M131" s="348" t="str">
        <f>'Table 4'!I132</f>
        <v>Funded via the CIL</v>
      </c>
      <c r="N131" s="341">
        <f>'Table 4'!F132-('Table 4'!F132*'Table 4'!G132)</f>
        <v>1389726</v>
      </c>
      <c r="O131" s="342"/>
      <c r="P131" s="343" t="str">
        <f>'Table 4'!O132</f>
        <v>Not commenced</v>
      </c>
      <c r="Q131" s="341"/>
    </row>
    <row r="132" spans="1:38" s="316" customFormat="1" ht="22.5" x14ac:dyDescent="0.25">
      <c r="A132" s="343" t="s">
        <v>522</v>
      </c>
      <c r="B132" s="315" t="s">
        <v>313</v>
      </c>
      <c r="C132" s="372" t="str">
        <f>'Table 4'!C133</f>
        <v>Deleted</v>
      </c>
      <c r="D132" s="348">
        <v>0</v>
      </c>
      <c r="E132" s="349"/>
      <c r="F132" s="348">
        <f>N132*G132</f>
        <v>0</v>
      </c>
      <c r="G132" s="349">
        <v>1</v>
      </c>
      <c r="H132" s="348">
        <v>0</v>
      </c>
      <c r="I132" s="349"/>
      <c r="J132" s="348">
        <v>0</v>
      </c>
      <c r="K132" s="349"/>
      <c r="L132" s="348">
        <f>'Table 4'!F133</f>
        <v>0</v>
      </c>
      <c r="M132" s="348">
        <f>'Table 4'!I133</f>
        <v>0</v>
      </c>
      <c r="N132" s="341">
        <f>'Table 4'!F133-('Table 4'!F133*'Table 4'!G133)</f>
        <v>0</v>
      </c>
      <c r="O132" s="342"/>
      <c r="P132" s="343" t="str">
        <f>'Table 4'!O133</f>
        <v>Project deleted as Council does not include childcare rooms in early childhood centres</v>
      </c>
      <c r="Q132" s="341"/>
    </row>
    <row r="133" spans="1:38" s="316" customFormat="1" ht="45" x14ac:dyDescent="0.25">
      <c r="A133" s="343" t="s">
        <v>323</v>
      </c>
      <c r="B133" s="315" t="s">
        <v>226</v>
      </c>
      <c r="C133" s="372" t="str">
        <f>'Table 4'!C134</f>
        <v xml:space="preserve">Bridge Road Community Centre
Construction of a multi-purpose community centre (Level 2) in Community Hub 6 - early childhood components - including kindergarten and maternal health. 
Area 2 contribution (60%) </v>
      </c>
      <c r="D133" s="348">
        <v>0</v>
      </c>
      <c r="E133" s="349"/>
      <c r="F133" s="348">
        <f>M133*G133</f>
        <v>1283551.6299999999</v>
      </c>
      <c r="G133" s="349">
        <v>1</v>
      </c>
      <c r="H133" s="348">
        <v>0</v>
      </c>
      <c r="I133" s="349"/>
      <c r="J133" s="348">
        <v>0</v>
      </c>
      <c r="K133" s="349"/>
      <c r="L133" s="348">
        <f>'Table 4'!F134</f>
        <v>1283551.6299999999</v>
      </c>
      <c r="M133" s="348">
        <f>'Table 4'!I134</f>
        <v>1283551.6299999999</v>
      </c>
      <c r="N133" s="341">
        <f>'Table 4'!F134-('Table 4'!F134*'Table 4'!G134)</f>
        <v>1283551.6299999999</v>
      </c>
      <c r="O133" s="342"/>
      <c r="P133" s="343" t="str">
        <f>'Table 4'!O134</f>
        <v>Constructed</v>
      </c>
      <c r="Q133" s="341"/>
    </row>
    <row r="134" spans="1:38" s="316" customFormat="1" ht="45" x14ac:dyDescent="0.25">
      <c r="A134" s="343" t="s">
        <v>324</v>
      </c>
      <c r="B134" s="315" t="s">
        <v>226</v>
      </c>
      <c r="C134" s="372" t="str">
        <f>'Table 4'!C135</f>
        <v>Bridge Road Community Centre
Construction of a multi-purpose community centre (Level 2) in Community Hub 6 - early childhood components - including kindergarten and maternal health. 
Area 3 contribution (40%)</v>
      </c>
      <c r="D134" s="348">
        <v>0</v>
      </c>
      <c r="E134" s="349"/>
      <c r="F134" s="348">
        <v>0</v>
      </c>
      <c r="G134" s="349"/>
      <c r="H134" s="348">
        <f>M134*I134</f>
        <v>638334.88</v>
      </c>
      <c r="I134" s="349">
        <v>1</v>
      </c>
      <c r="J134" s="348">
        <v>0</v>
      </c>
      <c r="K134" s="349"/>
      <c r="L134" s="348">
        <f>'Table 4'!F135</f>
        <v>638334.88</v>
      </c>
      <c r="M134" s="348">
        <f>'Table 4'!I135</f>
        <v>638334.88</v>
      </c>
      <c r="N134" s="341">
        <f>'Table 4'!F135-('Table 4'!F135*'Table 4'!G135)</f>
        <v>638334.88</v>
      </c>
      <c r="O134" s="342"/>
      <c r="P134" s="343" t="str">
        <f>'Table 4'!O135</f>
        <v>Constructed</v>
      </c>
      <c r="Q134" s="341"/>
    </row>
    <row r="135" spans="1:38" s="316" customFormat="1" ht="33.75" x14ac:dyDescent="0.25">
      <c r="A135" s="343" t="s">
        <v>326</v>
      </c>
      <c r="B135" s="315" t="s">
        <v>226</v>
      </c>
      <c r="C135" s="372" t="str">
        <f>'Table 4'!C136</f>
        <v xml:space="preserve">Bridge Road Community Centre
Purchase of land and construction of a multi-purpose community centre (Level 2) in Community Hub 6 - childcare components. 
Area 2 contribution (60%) </v>
      </c>
      <c r="D135" s="348">
        <v>0</v>
      </c>
      <c r="E135" s="349"/>
      <c r="F135" s="348">
        <f>M135*G135</f>
        <v>3422539.08</v>
      </c>
      <c r="G135" s="349">
        <v>1</v>
      </c>
      <c r="H135" s="348">
        <v>0</v>
      </c>
      <c r="I135" s="349"/>
      <c r="J135" s="348">
        <v>0</v>
      </c>
      <c r="K135" s="349"/>
      <c r="L135" s="348">
        <f>'Table 4'!F136</f>
        <v>3422539.08</v>
      </c>
      <c r="M135" s="348">
        <f>'Table 4'!I136</f>
        <v>3422539.08</v>
      </c>
      <c r="N135" s="341">
        <f>'Table 4'!F136-('Table 4'!F136*'Table 4'!G136)</f>
        <v>3422539.08</v>
      </c>
      <c r="O135" s="342"/>
      <c r="P135" s="343" t="str">
        <f>'Table 4'!O136</f>
        <v>Constructed</v>
      </c>
      <c r="Q135" s="341"/>
    </row>
    <row r="136" spans="1:38" s="316" customFormat="1" ht="33.75" x14ac:dyDescent="0.25">
      <c r="A136" s="343" t="s">
        <v>327</v>
      </c>
      <c r="B136" s="315" t="s">
        <v>226</v>
      </c>
      <c r="C136" s="372" t="str">
        <f>'Table 4'!C137</f>
        <v xml:space="preserve">Bridge Road Community Centre
Purchase of land and construction of a multi-purpose community centre (Level 2) in Community Hub 6 - childcare components. 
Area 3 contribution (40%) </v>
      </c>
      <c r="D136" s="348">
        <v>0</v>
      </c>
      <c r="E136" s="349"/>
      <c r="F136" s="348">
        <v>0</v>
      </c>
      <c r="G136" s="349"/>
      <c r="H136" s="348">
        <f>M136*I136</f>
        <v>2281692.27</v>
      </c>
      <c r="I136" s="349">
        <v>1</v>
      </c>
      <c r="J136" s="348">
        <v>0</v>
      </c>
      <c r="K136" s="349"/>
      <c r="L136" s="348">
        <f>'Table 4'!F137</f>
        <v>2281692.27</v>
      </c>
      <c r="M136" s="348">
        <f>'Table 4'!I137</f>
        <v>2281692.27</v>
      </c>
      <c r="N136" s="341">
        <f>'Table 4'!F137-('Table 4'!F137*'Table 4'!G137)</f>
        <v>2281692.27</v>
      </c>
      <c r="O136" s="342"/>
      <c r="P136" s="343" t="str">
        <f>'Table 4'!O137</f>
        <v>Constructed</v>
      </c>
      <c r="Q136" s="341"/>
    </row>
    <row r="137" spans="1:38" s="316" customFormat="1" ht="22.5" x14ac:dyDescent="0.25">
      <c r="A137" s="343" t="s">
        <v>328</v>
      </c>
      <c r="B137" s="315" t="s">
        <v>313</v>
      </c>
      <c r="C137" s="372" t="str">
        <f>'Table 4'!C138</f>
        <v>Bridge Road Community Centre
Construction of a multi-purpose community centre (Level 2) in Community Hub 6 - community rooms component</v>
      </c>
      <c r="D137" s="348">
        <v>0</v>
      </c>
      <c r="E137" s="349"/>
      <c r="F137" s="348">
        <f>N137*G137</f>
        <v>1742538.4110000001</v>
      </c>
      <c r="G137" s="349">
        <v>0.9</v>
      </c>
      <c r="H137" s="348">
        <f>N137*I137</f>
        <v>193615.37900000002</v>
      </c>
      <c r="I137" s="349">
        <v>0.1</v>
      </c>
      <c r="J137" s="348">
        <v>0</v>
      </c>
      <c r="K137" s="349"/>
      <c r="L137" s="348">
        <f>'Table 4'!F138</f>
        <v>1936153.79</v>
      </c>
      <c r="M137" s="348" t="str">
        <f>'Table 4'!I138</f>
        <v>Funded via the CIL</v>
      </c>
      <c r="N137" s="341">
        <f>'Table 4'!F138-('Table 4'!F138*'Table 4'!G138)</f>
        <v>1936153.79</v>
      </c>
      <c r="O137" s="342"/>
      <c r="P137" s="343" t="str">
        <f>'Table 4'!O138</f>
        <v>Constructed</v>
      </c>
      <c r="Q137" s="341"/>
    </row>
    <row r="138" spans="1:38" s="78" customFormat="1" x14ac:dyDescent="0.25">
      <c r="A138" s="369" t="s">
        <v>14</v>
      </c>
      <c r="B138" s="7"/>
      <c r="C138" s="369"/>
      <c r="D138" s="344">
        <f>SUM(D116:D137)</f>
        <v>21670581</v>
      </c>
      <c r="E138" s="345"/>
      <c r="F138" s="344">
        <f t="shared" ref="F138:M138" si="29">SUM(F116:F137)</f>
        <v>43204178.120999999</v>
      </c>
      <c r="G138" s="345"/>
      <c r="H138" s="344">
        <f t="shared" si="29"/>
        <v>3113642.5290000001</v>
      </c>
      <c r="I138" s="345"/>
      <c r="J138" s="344">
        <f t="shared" si="29"/>
        <v>0</v>
      </c>
      <c r="K138" s="345"/>
      <c r="L138" s="344">
        <f t="shared" si="29"/>
        <v>71187220.650000006</v>
      </c>
      <c r="M138" s="344">
        <f t="shared" si="29"/>
        <v>61102538.860000007</v>
      </c>
      <c r="N138" s="346"/>
      <c r="O138" s="474"/>
      <c r="P138" s="347"/>
      <c r="Q138" s="346"/>
    </row>
    <row r="139" spans="1:38" s="77" customFormat="1" x14ac:dyDescent="0.25">
      <c r="A139" s="368" t="s">
        <v>330</v>
      </c>
      <c r="B139" s="227"/>
      <c r="C139" s="371"/>
      <c r="D139" s="337"/>
      <c r="E139" s="166"/>
      <c r="F139" s="337"/>
      <c r="G139" s="166"/>
      <c r="H139" s="337"/>
      <c r="I139" s="166"/>
      <c r="J139" s="337"/>
      <c r="K139" s="166"/>
      <c r="L139" s="337"/>
      <c r="M139" s="337"/>
      <c r="N139" s="338"/>
      <c r="O139" s="473"/>
      <c r="P139" s="1"/>
      <c r="Q139" s="338"/>
      <c r="R139" s="75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6"/>
      <c r="AG139" s="76"/>
      <c r="AH139" s="76"/>
      <c r="AI139" s="76"/>
      <c r="AJ139" s="76"/>
      <c r="AK139" s="76"/>
      <c r="AL139" s="74"/>
    </row>
    <row r="140" spans="1:38" s="73" customFormat="1" ht="67.5" x14ac:dyDescent="0.25">
      <c r="A140" s="16" t="s">
        <v>331</v>
      </c>
      <c r="B140" s="229" t="s">
        <v>226</v>
      </c>
      <c r="C140" s="373" t="str">
        <f>'Table 4'!C141</f>
        <v>Weir Views North Sports Reserve
Construction of a sports reserve in Community Hub 1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</v>
      </c>
      <c r="D140" s="353">
        <f>N140*E140</f>
        <v>2160049.1020751619</v>
      </c>
      <c r="E140" s="354">
        <f t="shared" ref="E140:E153" si="30">D4/(D4+F4)</f>
        <v>0.28000652168005719</v>
      </c>
      <c r="F140" s="353">
        <f>N140*G140</f>
        <v>5554232.297924839</v>
      </c>
      <c r="G140" s="354">
        <f t="shared" ref="G140:G153" si="31">F4/(D4+F4)</f>
        <v>0.71999347831994287</v>
      </c>
      <c r="H140" s="353">
        <v>0</v>
      </c>
      <c r="I140" s="354"/>
      <c r="J140" s="353">
        <v>0</v>
      </c>
      <c r="K140" s="354"/>
      <c r="L140" s="353">
        <f>'Table 4'!F141</f>
        <v>11020402</v>
      </c>
      <c r="M140" s="359">
        <f>'Table 4'!I141</f>
        <v>7714281.3999999994</v>
      </c>
      <c r="N140" s="355">
        <f>'Table 4'!F141-('Table 4'!F141*'Table 4'!G141)</f>
        <v>7714281.4000000004</v>
      </c>
      <c r="O140" s="356"/>
      <c r="P140" s="208" t="str">
        <f>'Table 4'!O141</f>
        <v>Not commenced</v>
      </c>
      <c r="Q140" s="355"/>
    </row>
    <row r="141" spans="1:38" s="73" customFormat="1" ht="22.5" x14ac:dyDescent="0.25">
      <c r="A141" s="16" t="s">
        <v>334</v>
      </c>
      <c r="B141" s="229" t="s">
        <v>313</v>
      </c>
      <c r="C141" s="373" t="str">
        <f>'Table 4'!C142</f>
        <v>Weir Views North Sports Reserve Pavilion 
Construction of a pavilion in Community Hub 1, including all building works, landscaping, and related infrastructure</v>
      </c>
      <c r="D141" s="353">
        <f t="shared" ref="D141:D153" si="32">N141*E141</f>
        <v>345440.99372560019</v>
      </c>
      <c r="E141" s="354">
        <f t="shared" si="30"/>
        <v>0.28000652168005713</v>
      </c>
      <c r="F141" s="353">
        <f t="shared" ref="F141:F154" si="33">N141*G141</f>
        <v>888248.10627439979</v>
      </c>
      <c r="G141" s="354">
        <f t="shared" si="31"/>
        <v>0.71999347831994276</v>
      </c>
      <c r="H141" s="353">
        <v>0</v>
      </c>
      <c r="I141" s="354"/>
      <c r="J141" s="353">
        <v>0</v>
      </c>
      <c r="K141" s="354"/>
      <c r="L141" s="353">
        <f>'Table 4'!F142</f>
        <v>1762413</v>
      </c>
      <c r="M141" s="359" t="s">
        <v>540</v>
      </c>
      <c r="N141" s="355">
        <f>'Table 4'!F142-('Table 4'!F142*'Table 4'!G142)</f>
        <v>1233689.1000000001</v>
      </c>
      <c r="O141" s="356"/>
      <c r="P141" s="208" t="str">
        <f>'Table 4'!O142</f>
        <v>Not commenced</v>
      </c>
      <c r="Q141" s="355"/>
    </row>
    <row r="142" spans="1:38" s="73" customFormat="1" ht="45" x14ac:dyDescent="0.25">
      <c r="A142" s="16" t="s">
        <v>336</v>
      </c>
      <c r="B142" s="229" t="s">
        <v>226</v>
      </c>
      <c r="C142" s="373" t="str">
        <f>'Table 4'!C143</f>
        <v>Weir Views East Sports Reserve
Construction of a sports reserve incorporating:
- Playing surfaces and car parks, including all construction works, landscaping, and related infrastructure
- Playground including play space, youth space, picnic facilities, and BBQ</v>
      </c>
      <c r="D142" s="353">
        <f t="shared" si="32"/>
        <v>2384082.9707454676</v>
      </c>
      <c r="E142" s="354">
        <f t="shared" si="30"/>
        <v>0.27928363554958596</v>
      </c>
      <c r="F142" s="353">
        <f t="shared" si="33"/>
        <v>6152339.0292545324</v>
      </c>
      <c r="G142" s="354">
        <f t="shared" si="31"/>
        <v>0.72071636445041409</v>
      </c>
      <c r="H142" s="353">
        <v>0</v>
      </c>
      <c r="I142" s="354"/>
      <c r="J142" s="353">
        <v>0</v>
      </c>
      <c r="K142" s="354"/>
      <c r="L142" s="353">
        <f>'Table 4'!F143</f>
        <v>8536422</v>
      </c>
      <c r="M142" s="359">
        <f>'Table 4'!I143</f>
        <v>8536422</v>
      </c>
      <c r="N142" s="355">
        <f>'Table 4'!F143-('Table 4'!F143*'Table 4'!G143)</f>
        <v>8536422</v>
      </c>
      <c r="O142" s="356"/>
      <c r="P142" s="208" t="str">
        <f>'Table 4'!O143</f>
        <v>Not commenced</v>
      </c>
      <c r="Q142" s="355"/>
    </row>
    <row r="143" spans="1:38" s="73" customFormat="1" ht="22.5" x14ac:dyDescent="0.25">
      <c r="A143" s="16" t="s">
        <v>337</v>
      </c>
      <c r="B143" s="229" t="s">
        <v>313</v>
      </c>
      <c r="C143" s="373" t="str">
        <f>'Table 4'!C144</f>
        <v>Weir Views East Sports Reserve Pavilion
Construction of a pavilion, including all building works, landscaping, and related infrastructure</v>
      </c>
      <c r="D143" s="353">
        <f t="shared" si="32"/>
        <v>492213.10997985245</v>
      </c>
      <c r="E143" s="354">
        <f t="shared" si="30"/>
        <v>0.27928363554958596</v>
      </c>
      <c r="F143" s="353">
        <f t="shared" si="33"/>
        <v>1270199.8900201477</v>
      </c>
      <c r="G143" s="354">
        <f t="shared" si="31"/>
        <v>0.72071636445041409</v>
      </c>
      <c r="H143" s="353">
        <v>0</v>
      </c>
      <c r="I143" s="354"/>
      <c r="J143" s="353">
        <v>0</v>
      </c>
      <c r="K143" s="354"/>
      <c r="L143" s="353">
        <f>'Table 4'!F144</f>
        <v>1762413</v>
      </c>
      <c r="M143" s="359" t="s">
        <v>540</v>
      </c>
      <c r="N143" s="355">
        <f>'Table 4'!F144-('Table 4'!F144*'Table 4'!G144)</f>
        <v>1762413</v>
      </c>
      <c r="O143" s="356"/>
      <c r="P143" s="208" t="str">
        <f>'Table 4'!O144</f>
        <v>Not commenced</v>
      </c>
      <c r="Q143" s="355"/>
    </row>
    <row r="144" spans="1:38" s="73" customFormat="1" ht="45" x14ac:dyDescent="0.25">
      <c r="A144" s="16" t="s">
        <v>338</v>
      </c>
      <c r="B144" s="229" t="s">
        <v>226</v>
      </c>
      <c r="C144" s="373" t="str">
        <f>'Table 4'!C145</f>
        <v>Weir Views South Sports Reserve
Construction of a sports reserve in Community Hub 2 incorporating:
- Playing surfaces and car parks, including all construction works, landscaping, and related infrastructure
- Playground including play space, youth space, picnic facilities, and BBQ</v>
      </c>
      <c r="D144" s="353">
        <f t="shared" si="32"/>
        <v>3077817.9357779277</v>
      </c>
      <c r="E144" s="354">
        <f t="shared" si="30"/>
        <v>0.27928363554958591</v>
      </c>
      <c r="F144" s="353">
        <f t="shared" si="33"/>
        <v>7942584.0642220723</v>
      </c>
      <c r="G144" s="354">
        <f t="shared" si="31"/>
        <v>0.72071636445041409</v>
      </c>
      <c r="H144" s="353">
        <v>0</v>
      </c>
      <c r="I144" s="354"/>
      <c r="J144" s="353">
        <v>0</v>
      </c>
      <c r="K144" s="354"/>
      <c r="L144" s="353">
        <f>'Table 4'!F145</f>
        <v>11020402</v>
      </c>
      <c r="M144" s="359">
        <f>'Table 4'!I145</f>
        <v>11020402</v>
      </c>
      <c r="N144" s="355">
        <f>'Table 4'!F145-('Table 4'!F145*'Table 4'!G145)</f>
        <v>11020402</v>
      </c>
      <c r="O144" s="356"/>
      <c r="P144" s="208" t="str">
        <f>'Table 4'!O145</f>
        <v>Not commenced</v>
      </c>
      <c r="Q144" s="355"/>
    </row>
    <row r="145" spans="1:38" s="73" customFormat="1" ht="22.5" x14ac:dyDescent="0.25">
      <c r="A145" s="16" t="s">
        <v>339</v>
      </c>
      <c r="B145" s="229" t="s">
        <v>313</v>
      </c>
      <c r="C145" s="373" t="str">
        <f>'Table 4'!C146</f>
        <v>Weir Views South Sports Reserve
Construction of a pavilion in Community Hub 2, including all building works, landscaping, and related infrastructure</v>
      </c>
      <c r="D145" s="353">
        <f t="shared" si="32"/>
        <v>492213.10997985245</v>
      </c>
      <c r="E145" s="354">
        <f t="shared" si="30"/>
        <v>0.27928363554958596</v>
      </c>
      <c r="F145" s="353">
        <f t="shared" si="33"/>
        <v>1270199.8900201477</v>
      </c>
      <c r="G145" s="354">
        <f t="shared" si="31"/>
        <v>0.72071636445041409</v>
      </c>
      <c r="H145" s="353">
        <v>0</v>
      </c>
      <c r="I145" s="354"/>
      <c r="J145" s="353">
        <v>0</v>
      </c>
      <c r="K145" s="354"/>
      <c r="L145" s="353">
        <f>'Table 4'!F146</f>
        <v>1762413</v>
      </c>
      <c r="M145" s="359" t="s">
        <v>540</v>
      </c>
      <c r="N145" s="355">
        <f>'Table 4'!F146-('Table 4'!F146*'Table 4'!G146)</f>
        <v>1762413</v>
      </c>
      <c r="O145" s="356"/>
      <c r="P145" s="208" t="str">
        <f>'Table 4'!O146</f>
        <v>Not commenced</v>
      </c>
      <c r="Q145" s="355"/>
    </row>
    <row r="146" spans="1:38" s="73" customFormat="1" ht="45" x14ac:dyDescent="0.25">
      <c r="A146" s="16" t="s">
        <v>340</v>
      </c>
      <c r="B146" s="229" t="s">
        <v>226</v>
      </c>
      <c r="C146" s="373" t="str">
        <f>'Table 4'!C147</f>
        <v>Strathtulloh Sports Reserve
Construction of a sports reserve in Community Hub 3 incorporating:
- Playing surfaces and car parks, including all construction works, landscaping, and related infrastructure
- Playground including play space, youth space, picnic facilities, and BBQ</v>
      </c>
      <c r="D146" s="353">
        <f t="shared" si="32"/>
        <v>3077817.9357779282</v>
      </c>
      <c r="E146" s="354">
        <f t="shared" si="30"/>
        <v>0.27928363554958596</v>
      </c>
      <c r="F146" s="353">
        <f t="shared" si="33"/>
        <v>7942584.0642220723</v>
      </c>
      <c r="G146" s="354">
        <f t="shared" si="31"/>
        <v>0.72071636445041409</v>
      </c>
      <c r="H146" s="353">
        <v>0</v>
      </c>
      <c r="I146" s="354"/>
      <c r="J146" s="353">
        <v>0</v>
      </c>
      <c r="K146" s="354"/>
      <c r="L146" s="353">
        <f>'Table 4'!F147</f>
        <v>11020402</v>
      </c>
      <c r="M146" s="359">
        <f>'Table 4'!I147</f>
        <v>11020402</v>
      </c>
      <c r="N146" s="355">
        <f>'Table 4'!F147-('Table 4'!F147*'Table 4'!G147)</f>
        <v>11020402</v>
      </c>
      <c r="O146" s="356"/>
      <c r="P146" s="208" t="str">
        <f>'Table 4'!O147</f>
        <v>Not commenced</v>
      </c>
      <c r="Q146" s="355"/>
    </row>
    <row r="147" spans="1:38" s="73" customFormat="1" ht="22.5" x14ac:dyDescent="0.25">
      <c r="A147" s="16" t="s">
        <v>341</v>
      </c>
      <c r="B147" s="229" t="s">
        <v>313</v>
      </c>
      <c r="C147" s="373" t="str">
        <f>'Table 4'!C148</f>
        <v>Strathtulloh Sports Reserve Pavilion
Construction of a pavilion in Community Hub 3, including all building works, landscaping, and related infrastructure</v>
      </c>
      <c r="D147" s="353">
        <f t="shared" si="32"/>
        <v>984426.21995970467</v>
      </c>
      <c r="E147" s="354">
        <f t="shared" si="30"/>
        <v>0.27928363554958591</v>
      </c>
      <c r="F147" s="353">
        <f t="shared" si="33"/>
        <v>2540399.7800402949</v>
      </c>
      <c r="G147" s="354">
        <f t="shared" si="31"/>
        <v>0.72071636445041398</v>
      </c>
      <c r="H147" s="353">
        <v>0</v>
      </c>
      <c r="I147" s="354"/>
      <c r="J147" s="353">
        <v>0</v>
      </c>
      <c r="K147" s="354"/>
      <c r="L147" s="353">
        <f>'Table 4'!F148</f>
        <v>3524826</v>
      </c>
      <c r="M147" s="359" t="s">
        <v>540</v>
      </c>
      <c r="N147" s="355">
        <f>'Table 4'!F148-('Table 4'!F148*'Table 4'!G148)</f>
        <v>3524826</v>
      </c>
      <c r="O147" s="356"/>
      <c r="P147" s="208" t="str">
        <f>'Table 4'!O148</f>
        <v>Not commenced</v>
      </c>
      <c r="Q147" s="355"/>
    </row>
    <row r="148" spans="1:38" s="73" customFormat="1" ht="67.5" x14ac:dyDescent="0.25">
      <c r="A148" s="16" t="s">
        <v>342</v>
      </c>
      <c r="B148" s="229" t="s">
        <v>226</v>
      </c>
      <c r="C148" s="373" t="str">
        <f>'Table 4'!C149</f>
        <v>Thornhill Park Sports Reserve
Construction of a sports reserve in Community Hub 4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</v>
      </c>
      <c r="D148" s="353">
        <f t="shared" si="32"/>
        <v>3077817.9357779277</v>
      </c>
      <c r="E148" s="354">
        <f t="shared" si="30"/>
        <v>0.27928363554958591</v>
      </c>
      <c r="F148" s="353">
        <f t="shared" si="33"/>
        <v>7942584.0642220723</v>
      </c>
      <c r="G148" s="354">
        <f t="shared" si="31"/>
        <v>0.72071636445041409</v>
      </c>
      <c r="H148" s="353">
        <v>0</v>
      </c>
      <c r="I148" s="354"/>
      <c r="J148" s="353">
        <v>0</v>
      </c>
      <c r="K148" s="354"/>
      <c r="L148" s="353">
        <f>'Table 4'!F149</f>
        <v>11020402</v>
      </c>
      <c r="M148" s="359">
        <f>'Table 4'!I149</f>
        <v>11020402</v>
      </c>
      <c r="N148" s="355">
        <f>'Table 4'!F149-('Table 4'!F149*'Table 4'!G149)</f>
        <v>11020402</v>
      </c>
      <c r="O148" s="356"/>
      <c r="P148" s="208" t="str">
        <f>'Table 4'!O149</f>
        <v>Not commenced</v>
      </c>
      <c r="Q148" s="355"/>
    </row>
    <row r="149" spans="1:38" s="73" customFormat="1" ht="22.5" x14ac:dyDescent="0.25">
      <c r="A149" s="16" t="s">
        <v>343</v>
      </c>
      <c r="B149" s="229" t="s">
        <v>313</v>
      </c>
      <c r="C149" s="373" t="str">
        <f>'Table 4'!C150</f>
        <v>Thornhill Park Sports Reserve Pavilion
Construction of a pavilion in Community Hub 4, including all building works, landscaping, and related infrastructure</v>
      </c>
      <c r="D149" s="353">
        <f t="shared" si="32"/>
        <v>492213.10997985234</v>
      </c>
      <c r="E149" s="354">
        <f t="shared" si="30"/>
        <v>0.27928363554958591</v>
      </c>
      <c r="F149" s="353">
        <f t="shared" si="33"/>
        <v>1270199.8900201477</v>
      </c>
      <c r="G149" s="354">
        <f t="shared" si="31"/>
        <v>0.72071636445041409</v>
      </c>
      <c r="H149" s="353">
        <v>0</v>
      </c>
      <c r="I149" s="354"/>
      <c r="J149" s="353">
        <v>0</v>
      </c>
      <c r="K149" s="354"/>
      <c r="L149" s="353">
        <f>'Table 4'!F150</f>
        <v>1762413</v>
      </c>
      <c r="M149" s="359" t="s">
        <v>540</v>
      </c>
      <c r="N149" s="355">
        <f>'Table 4'!F150-('Table 4'!F150*'Table 4'!G150)</f>
        <v>1762413</v>
      </c>
      <c r="O149" s="356"/>
      <c r="P149" s="208" t="str">
        <f>'Table 4'!O150</f>
        <v>Not commenced</v>
      </c>
      <c r="Q149" s="355"/>
    </row>
    <row r="150" spans="1:38" s="73" customFormat="1" ht="45" x14ac:dyDescent="0.25">
      <c r="A150" s="16" t="s">
        <v>344</v>
      </c>
      <c r="B150" s="229" t="s">
        <v>226</v>
      </c>
      <c r="C150" s="373" t="str">
        <f>'Table 4'!C151</f>
        <v>Cobblebank East Sports Reserve
Construction of a sports reserve in Community Hub 5 incorporating:
- Playing surfaces and car parks, including all construction works, landscaping, and related infrastructure
- Playground including play space, youth space, picnic facilities, and BBQ</v>
      </c>
      <c r="D150" s="353">
        <f t="shared" si="32"/>
        <v>2384082.9707454671</v>
      </c>
      <c r="E150" s="354">
        <f t="shared" si="30"/>
        <v>0.27928363554958591</v>
      </c>
      <c r="F150" s="353">
        <f t="shared" si="33"/>
        <v>6152339.0292545324</v>
      </c>
      <c r="G150" s="354">
        <f t="shared" si="31"/>
        <v>0.72071636445041409</v>
      </c>
      <c r="H150" s="353">
        <v>0</v>
      </c>
      <c r="I150" s="354"/>
      <c r="J150" s="353">
        <v>0</v>
      </c>
      <c r="K150" s="354"/>
      <c r="L150" s="353">
        <f>'Table 4'!F151</f>
        <v>8536422</v>
      </c>
      <c r="M150" s="359">
        <f>'Table 4'!I151</f>
        <v>8536422</v>
      </c>
      <c r="N150" s="355">
        <f>'Table 4'!F151-('Table 4'!F151*'Table 4'!G151)</f>
        <v>8536422</v>
      </c>
      <c r="O150" s="356"/>
      <c r="P150" s="208" t="str">
        <f>'Table 4'!O151</f>
        <v>Not commenced</v>
      </c>
      <c r="Q150" s="355"/>
    </row>
    <row r="151" spans="1:38" s="73" customFormat="1" ht="22.5" x14ac:dyDescent="0.25">
      <c r="A151" s="16" t="s">
        <v>345</v>
      </c>
      <c r="B151" s="229" t="s">
        <v>313</v>
      </c>
      <c r="C151" s="373" t="str">
        <f>'Table 4'!C152</f>
        <v>Cobblebank East Sports Reserve Pavilion
Construction of a pavilion in Community Hub 5, including all building works, landscaping, and related infrastructure</v>
      </c>
      <c r="D151" s="353">
        <f t="shared" si="32"/>
        <v>492213.10997985234</v>
      </c>
      <c r="E151" s="354">
        <f t="shared" si="30"/>
        <v>0.27928363554958591</v>
      </c>
      <c r="F151" s="353">
        <f t="shared" si="33"/>
        <v>1270199.8900201474</v>
      </c>
      <c r="G151" s="354">
        <f t="shared" si="31"/>
        <v>0.72071636445041398</v>
      </c>
      <c r="H151" s="353">
        <v>0</v>
      </c>
      <c r="I151" s="354"/>
      <c r="J151" s="353">
        <v>0</v>
      </c>
      <c r="K151" s="354"/>
      <c r="L151" s="353">
        <f>'Table 4'!F152</f>
        <v>1762413</v>
      </c>
      <c r="M151" s="359" t="s">
        <v>540</v>
      </c>
      <c r="N151" s="355">
        <f>'Table 4'!F152-('Table 4'!F152*'Table 4'!G152)</f>
        <v>1762413</v>
      </c>
      <c r="O151" s="356"/>
      <c r="P151" s="208" t="str">
        <f>'Table 4'!O152</f>
        <v>Not commenced</v>
      </c>
      <c r="Q151" s="355"/>
    </row>
    <row r="152" spans="1:38" s="73" customFormat="1" ht="45" x14ac:dyDescent="0.25">
      <c r="A152" s="16" t="s">
        <v>346</v>
      </c>
      <c r="B152" s="229" t="s">
        <v>226</v>
      </c>
      <c r="C152" s="373" t="str">
        <f>'Table 4'!C153</f>
        <v>Cobblebank Central Sports Reserve
Construction of a sports reserve in Community Hub 7 incorporating:
- Playing surfaces and car parks, including all construction works, landscaping, and related infrastructure
- Playground including play space, youth space, picnic facilities, and BBQ</v>
      </c>
      <c r="D152" s="353">
        <f t="shared" si="32"/>
        <v>3077817.9357779277</v>
      </c>
      <c r="E152" s="354">
        <f t="shared" si="30"/>
        <v>0.27928363554958591</v>
      </c>
      <c r="F152" s="353">
        <f t="shared" si="33"/>
        <v>7942584.0642220723</v>
      </c>
      <c r="G152" s="354">
        <f t="shared" si="31"/>
        <v>0.72071636445041409</v>
      </c>
      <c r="H152" s="353">
        <v>0</v>
      </c>
      <c r="I152" s="354"/>
      <c r="J152" s="353">
        <v>0</v>
      </c>
      <c r="K152" s="354"/>
      <c r="L152" s="353">
        <f>'Table 4'!F153</f>
        <v>11020402</v>
      </c>
      <c r="M152" s="359">
        <f>'Table 4'!I153</f>
        <v>11020402</v>
      </c>
      <c r="N152" s="355">
        <f>'Table 4'!F153-('Table 4'!F153*'Table 4'!G153)</f>
        <v>11020402</v>
      </c>
      <c r="O152" s="356"/>
      <c r="P152" s="208" t="str">
        <f>'Table 4'!O153</f>
        <v>Not commenced</v>
      </c>
      <c r="Q152" s="355"/>
    </row>
    <row r="153" spans="1:38" s="73" customFormat="1" ht="22.5" x14ac:dyDescent="0.25">
      <c r="A153" s="16" t="s">
        <v>347</v>
      </c>
      <c r="B153" s="229" t="s">
        <v>313</v>
      </c>
      <c r="C153" s="373" t="str">
        <f>'Table 4'!C154</f>
        <v>Cobblebank Central Sports Reserve Pavilion
Construction of a pavilion in Community Hub 7, including all building works, landscaping and related infrastructure</v>
      </c>
      <c r="D153" s="353">
        <f t="shared" si="32"/>
        <v>492213.10997985245</v>
      </c>
      <c r="E153" s="354">
        <f t="shared" si="30"/>
        <v>0.27928363554958596</v>
      </c>
      <c r="F153" s="353">
        <f t="shared" si="33"/>
        <v>1270199.8900201477</v>
      </c>
      <c r="G153" s="354">
        <f t="shared" si="31"/>
        <v>0.72071636445041409</v>
      </c>
      <c r="H153" s="353">
        <v>0</v>
      </c>
      <c r="I153" s="354"/>
      <c r="J153" s="353">
        <v>0</v>
      </c>
      <c r="K153" s="354"/>
      <c r="L153" s="353">
        <f>'Table 4'!F154</f>
        <v>1762413</v>
      </c>
      <c r="M153" s="359" t="s">
        <v>540</v>
      </c>
      <c r="N153" s="355">
        <f>'Table 4'!F154-('Table 4'!F154*'Table 4'!G154)</f>
        <v>1762413</v>
      </c>
      <c r="O153" s="356"/>
      <c r="P153" s="208" t="str">
        <f>'Table 4'!O154</f>
        <v>Not commenced</v>
      </c>
      <c r="Q153" s="355"/>
    </row>
    <row r="154" spans="1:38" s="316" customFormat="1" ht="78.75" x14ac:dyDescent="0.25">
      <c r="A154" s="352" t="s">
        <v>348</v>
      </c>
      <c r="B154" s="317" t="s">
        <v>226</v>
      </c>
      <c r="C154" s="372" t="str">
        <f>'Table 4'!C155</f>
        <v>Bridge Road Sports Reserve
Construction of a sports reserve in Community Hub 6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
Area 2 Contribution (60%)</v>
      </c>
      <c r="D154" s="348">
        <v>0</v>
      </c>
      <c r="E154" s="349"/>
      <c r="F154" s="348">
        <f t="shared" si="33"/>
        <v>2296579.52</v>
      </c>
      <c r="G154" s="349">
        <v>1</v>
      </c>
      <c r="H154" s="348">
        <v>0</v>
      </c>
      <c r="I154" s="349"/>
      <c r="J154" s="348">
        <v>0</v>
      </c>
      <c r="K154" s="349"/>
      <c r="L154" s="348">
        <f>'Table 4'!F155</f>
        <v>2296579.52</v>
      </c>
      <c r="M154" s="360">
        <f>'Table 4'!I155</f>
        <v>2296579.52</v>
      </c>
      <c r="N154" s="341">
        <f>'Table 4'!F155-('Table 4'!F155*'Table 4'!G155)</f>
        <v>2296579.52</v>
      </c>
      <c r="O154" s="342"/>
      <c r="P154" s="343" t="str">
        <f>'Table 4'!O155</f>
        <v>Constructed</v>
      </c>
      <c r="Q154" s="341"/>
      <c r="R154" s="319"/>
    </row>
    <row r="155" spans="1:38" s="316" customFormat="1" ht="78.75" x14ac:dyDescent="0.25">
      <c r="A155" s="352" t="s">
        <v>349</v>
      </c>
      <c r="B155" s="317" t="s">
        <v>226</v>
      </c>
      <c r="C155" s="372" t="str">
        <f>'Table 4'!C156</f>
        <v>Bridge Road Sports Reserve
Construction of a sports reserve in Community Hub 6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
Area 3 Contribution (40%)</v>
      </c>
      <c r="D155" s="348">
        <v>0</v>
      </c>
      <c r="E155" s="349"/>
      <c r="F155" s="348">
        <v>0</v>
      </c>
      <c r="G155" s="349"/>
      <c r="H155" s="348">
        <f>N155*I155</f>
        <v>1531053.01</v>
      </c>
      <c r="I155" s="349">
        <v>1</v>
      </c>
      <c r="J155" s="348">
        <v>0</v>
      </c>
      <c r="K155" s="349"/>
      <c r="L155" s="348">
        <f>'Table 4'!F156</f>
        <v>1531053.01</v>
      </c>
      <c r="M155" s="360">
        <f>'Table 4'!I156</f>
        <v>1531053.01</v>
      </c>
      <c r="N155" s="341">
        <f>'Table 4'!F156-('Table 4'!F156*'Table 4'!G156)</f>
        <v>1531053.01</v>
      </c>
      <c r="O155" s="342"/>
      <c r="P155" s="343" t="str">
        <f>'Table 4'!O156</f>
        <v>Constructed</v>
      </c>
      <c r="Q155" s="341"/>
    </row>
    <row r="156" spans="1:38" s="316" customFormat="1" ht="22.5" x14ac:dyDescent="0.25">
      <c r="A156" s="352" t="s">
        <v>350</v>
      </c>
      <c r="B156" s="317" t="s">
        <v>313</v>
      </c>
      <c r="C156" s="372" t="str">
        <f>'Table 4'!C157</f>
        <v>Bridge Road Sports Reserve Pavilion
Construction of a pavilion in Community Hub 6, including all building works, landscaping, and related infrastructure</v>
      </c>
      <c r="D156" s="348">
        <v>0</v>
      </c>
      <c r="E156" s="349"/>
      <c r="F156" s="348">
        <f>N156*G156</f>
        <v>1450227.0240000002</v>
      </c>
      <c r="G156" s="349">
        <v>0.9</v>
      </c>
      <c r="H156" s="348">
        <f>N156*I156</f>
        <v>161136.33600000001</v>
      </c>
      <c r="I156" s="349">
        <v>0.1</v>
      </c>
      <c r="J156" s="348">
        <v>0</v>
      </c>
      <c r="K156" s="349"/>
      <c r="L156" s="348">
        <f>'Table 4'!F157</f>
        <v>1611363.36</v>
      </c>
      <c r="M156" s="360" t="s">
        <v>540</v>
      </c>
      <c r="N156" s="341">
        <f>'Table 4'!F157-('Table 4'!F157*'Table 4'!G157)</f>
        <v>1611363.36</v>
      </c>
      <c r="O156" s="342"/>
      <c r="P156" s="343" t="str">
        <f>'Table 4'!O157</f>
        <v>Constructed</v>
      </c>
      <c r="Q156" s="341"/>
    </row>
    <row r="157" spans="1:38" s="78" customFormat="1" x14ac:dyDescent="0.25">
      <c r="A157" s="369" t="s">
        <v>14</v>
      </c>
      <c r="B157" s="7"/>
      <c r="C157" s="369"/>
      <c r="D157" s="344">
        <f t="shared" ref="D157:F157" si="34">SUM(D140:D156)</f>
        <v>23030419.550262377</v>
      </c>
      <c r="E157" s="345"/>
      <c r="F157" s="344">
        <f t="shared" si="34"/>
        <v>63155700.493737638</v>
      </c>
      <c r="G157" s="345"/>
      <c r="H157" s="344">
        <f>SUM(H140:H156)</f>
        <v>1692189.3459999999</v>
      </c>
      <c r="I157" s="345"/>
      <c r="J157" s="344">
        <v>0</v>
      </c>
      <c r="K157" s="345"/>
      <c r="L157" s="344">
        <f>SUM(L140:L156)</f>
        <v>91713153.890000001</v>
      </c>
      <c r="M157" s="361">
        <f>SUM(M140:M156)</f>
        <v>72696365.930000007</v>
      </c>
      <c r="N157" s="346"/>
      <c r="O157" s="474"/>
      <c r="P157" s="347"/>
      <c r="Q157" s="346"/>
    </row>
    <row r="158" spans="1:38" s="77" customFormat="1" x14ac:dyDescent="0.25">
      <c r="A158" s="368" t="s">
        <v>413</v>
      </c>
      <c r="B158" s="227"/>
      <c r="C158" s="371"/>
      <c r="D158" s="337"/>
      <c r="E158" s="166"/>
      <c r="F158" s="337"/>
      <c r="G158" s="166"/>
      <c r="H158" s="337"/>
      <c r="I158" s="166"/>
      <c r="J158" s="337"/>
      <c r="K158" s="166"/>
      <c r="L158" s="337"/>
      <c r="M158" s="337"/>
      <c r="N158" s="338"/>
      <c r="O158" s="473"/>
      <c r="P158" s="1"/>
      <c r="Q158" s="338"/>
      <c r="R158" s="75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6"/>
      <c r="AG158" s="76"/>
      <c r="AH158" s="76"/>
      <c r="AI158" s="76"/>
      <c r="AJ158" s="76"/>
      <c r="AK158" s="76"/>
      <c r="AL158" s="74"/>
    </row>
    <row r="159" spans="1:38" s="318" customFormat="1" ht="22.5" x14ac:dyDescent="0.25">
      <c r="A159" s="352" t="s">
        <v>352</v>
      </c>
      <c r="B159" s="317" t="s">
        <v>226</v>
      </c>
      <c r="C159" s="372" t="str">
        <f>'Table 4'!C160</f>
        <v>Toolern Creek Regional Park Trail
Concrete Shared Path including pavement, drainage, and landscaping (3 metres wide, length 3,250 metres)</v>
      </c>
      <c r="D159" s="348">
        <f>M159*E159</f>
        <v>237148.93968298353</v>
      </c>
      <c r="E159" s="349">
        <f>D46/(D46+F46+H46)</f>
        <v>0.25876545258441885</v>
      </c>
      <c r="F159" s="348">
        <f>M159*G159</f>
        <v>611984.0187028955</v>
      </c>
      <c r="G159" s="349">
        <f>F46/(D46+F46+H46)</f>
        <v>0.66776736082303156</v>
      </c>
      <c r="H159" s="348">
        <f>M159*I159</f>
        <v>67329.951614120975</v>
      </c>
      <c r="I159" s="349">
        <f>H46/(D46+F46+H46)</f>
        <v>7.3467186592549583E-2</v>
      </c>
      <c r="J159" s="348">
        <v>0</v>
      </c>
      <c r="K159" s="349"/>
      <c r="L159" s="348">
        <f>'Table 4'!F160</f>
        <v>916462.91</v>
      </c>
      <c r="M159" s="360">
        <f>'Table 4'!I160</f>
        <v>916462.91</v>
      </c>
      <c r="N159" s="350" t="s">
        <v>403</v>
      </c>
      <c r="O159" s="351"/>
      <c r="P159" s="352" t="str">
        <f>'Table 4'!O160</f>
        <v>Constructed</v>
      </c>
      <c r="Q159" s="341"/>
    </row>
    <row r="160" spans="1:38" s="78" customFormat="1" x14ac:dyDescent="0.25">
      <c r="A160" s="369" t="s">
        <v>14</v>
      </c>
      <c r="B160" s="7"/>
      <c r="C160" s="369"/>
      <c r="D160" s="344">
        <f>D159</f>
        <v>237148.93968298353</v>
      </c>
      <c r="E160" s="345"/>
      <c r="F160" s="344">
        <f t="shared" ref="F160:H160" si="35">F159</f>
        <v>611984.0187028955</v>
      </c>
      <c r="G160" s="345"/>
      <c r="H160" s="344">
        <f t="shared" si="35"/>
        <v>67329.951614120975</v>
      </c>
      <c r="I160" s="345"/>
      <c r="J160" s="344">
        <v>0</v>
      </c>
      <c r="K160" s="345"/>
      <c r="L160" s="344">
        <f>L159</f>
        <v>916462.91</v>
      </c>
      <c r="M160" s="361">
        <f>M159</f>
        <v>916462.91</v>
      </c>
      <c r="N160" s="346"/>
      <c r="O160" s="474"/>
      <c r="P160" s="347"/>
      <c r="Q160" s="346"/>
    </row>
    <row r="161" spans="1:38" s="77" customFormat="1" x14ac:dyDescent="0.25">
      <c r="A161" s="368" t="s">
        <v>414</v>
      </c>
      <c r="B161" s="227"/>
      <c r="C161" s="371"/>
      <c r="D161" s="337"/>
      <c r="E161" s="166"/>
      <c r="F161" s="337"/>
      <c r="G161" s="166"/>
      <c r="H161" s="337"/>
      <c r="I161" s="166"/>
      <c r="J161" s="337"/>
      <c r="K161" s="166"/>
      <c r="L161" s="337"/>
      <c r="M161" s="337"/>
      <c r="N161" s="338"/>
      <c r="O161" s="473"/>
      <c r="P161" s="1"/>
      <c r="Q161" s="338"/>
      <c r="R161" s="75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6"/>
      <c r="AG161" s="76"/>
      <c r="AH161" s="76"/>
      <c r="AI161" s="76"/>
      <c r="AJ161" s="76"/>
      <c r="AK161" s="76"/>
      <c r="AL161" s="74"/>
    </row>
    <row r="162" spans="1:38" s="318" customFormat="1" ht="22.5" x14ac:dyDescent="0.25">
      <c r="A162" s="352" t="s">
        <v>356</v>
      </c>
      <c r="B162" s="317" t="s">
        <v>226</v>
      </c>
      <c r="C162" s="372" t="str">
        <f>'Table 4'!C163</f>
        <v xml:space="preserve">Plan Preparation
Preparation of Precinct Structure Plan and Development Contributions Plan. </v>
      </c>
      <c r="D162" s="348">
        <f>L162*E162</f>
        <v>337784.4407024642</v>
      </c>
      <c r="E162" s="349">
        <v>0.20124142647903323</v>
      </c>
      <c r="F162" s="348">
        <f>L162*G162</f>
        <v>871682.91687385063</v>
      </c>
      <c r="G162" s="349">
        <v>0.51932147396811257</v>
      </c>
      <c r="H162" s="348">
        <f>M162*I162</f>
        <v>95901.799429937484</v>
      </c>
      <c r="I162" s="349">
        <v>5.7135298710181116E-2</v>
      </c>
      <c r="J162" s="348">
        <f>M162*K162</f>
        <v>373134.35299374769</v>
      </c>
      <c r="K162" s="349">
        <v>0.22230180084267306</v>
      </c>
      <c r="L162" s="348">
        <f>'Table 4'!F163</f>
        <v>1678503.51</v>
      </c>
      <c r="M162" s="360">
        <f>'Table 4'!I163</f>
        <v>1678503.51</v>
      </c>
      <c r="N162" s="350" t="s">
        <v>403</v>
      </c>
      <c r="O162" s="351"/>
      <c r="P162" s="352" t="str">
        <f>'Table 4'!O163</f>
        <v>Prepared</v>
      </c>
      <c r="Q162" s="341"/>
    </row>
    <row r="163" spans="1:38" s="78" customFormat="1" x14ac:dyDescent="0.25">
      <c r="A163" s="369" t="s">
        <v>14</v>
      </c>
      <c r="B163" s="7"/>
      <c r="C163" s="369"/>
      <c r="D163" s="344">
        <f>D162</f>
        <v>337784.4407024642</v>
      </c>
      <c r="E163" s="345"/>
      <c r="F163" s="344">
        <f t="shared" ref="F163:M163" si="36">F162</f>
        <v>871682.91687385063</v>
      </c>
      <c r="G163" s="345"/>
      <c r="H163" s="344">
        <f t="shared" si="36"/>
        <v>95901.799429937484</v>
      </c>
      <c r="I163" s="345"/>
      <c r="J163" s="344">
        <f t="shared" si="36"/>
        <v>373134.35299374769</v>
      </c>
      <c r="K163" s="345"/>
      <c r="L163" s="344">
        <f t="shared" si="36"/>
        <v>1678503.51</v>
      </c>
      <c r="M163" s="344">
        <f t="shared" si="36"/>
        <v>1678503.51</v>
      </c>
      <c r="N163" s="346"/>
      <c r="O163" s="474"/>
      <c r="P163" s="347"/>
      <c r="Q163" s="346"/>
    </row>
    <row r="164" spans="1:38" s="79" customFormat="1" x14ac:dyDescent="0.25">
      <c r="A164" s="370" t="s">
        <v>213</v>
      </c>
      <c r="B164" s="9"/>
      <c r="C164" s="370"/>
      <c r="D164" s="362">
        <f>D163+D160+D157+D138+D114+D103+D100+D77+D43</f>
        <v>141756983.37754831</v>
      </c>
      <c r="E164" s="363"/>
      <c r="F164" s="362">
        <f>F163+F160+F157+F138+F114+F103+F100+F77+F43</f>
        <v>368054057.49407065</v>
      </c>
      <c r="G164" s="363"/>
      <c r="H164" s="362">
        <f>H163+H160+H157+H138+H114+H103+H100+H77+H43</f>
        <v>32480652.569192454</v>
      </c>
      <c r="I164" s="363"/>
      <c r="J164" s="362">
        <f>J163+J160+J157+J138+J114+J103+J100+J77+J43</f>
        <v>82041385.656688631</v>
      </c>
      <c r="K164" s="363"/>
      <c r="L164" s="362">
        <f>L163+L160+L157+L138+L114+L103+L100+L77+L43</f>
        <v>664522344.02999997</v>
      </c>
      <c r="M164" s="362">
        <f>M163+M160+M157+M138+M114+M103+M100+M77+M43</f>
        <v>598352234.0474999</v>
      </c>
      <c r="N164" s="364"/>
      <c r="O164" s="475"/>
      <c r="P164" s="365"/>
      <c r="Q164" s="364"/>
    </row>
    <row r="167" spans="1:38" x14ac:dyDescent="0.25">
      <c r="A167" s="90" t="s">
        <v>357</v>
      </c>
    </row>
    <row r="168" spans="1:38" x14ac:dyDescent="0.25">
      <c r="A168" s="90" t="s">
        <v>358</v>
      </c>
    </row>
    <row r="169" spans="1:38" x14ac:dyDescent="0.25">
      <c r="A169" s="90" t="s">
        <v>359</v>
      </c>
    </row>
    <row r="172" spans="1:38" x14ac:dyDescent="0.25">
      <c r="E172" s="366"/>
      <c r="G172" s="366"/>
      <c r="I172" s="366"/>
      <c r="K172" s="366"/>
    </row>
  </sheetData>
  <sheetProtection algorithmName="SHA-512" hashValue="32Jsqb2e/68nQAP3EWxlPKgdTxS1RvkPbpaAv+so8F76OqyiV5dRjkNkVAjAsYO7XqyaaYUWA+6yQ86yd2hh8g==" saltValue="P4eDYU5C1qOq+a0SKZGzBA==" spinCount="100000" sheet="1" objects="1" scenarios="1"/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78"/>
  <sheetViews>
    <sheetView workbookViewId="0"/>
  </sheetViews>
  <sheetFormatPr defaultColWidth="9.140625" defaultRowHeight="11.25" x14ac:dyDescent="0.25"/>
  <cols>
    <col min="1" max="1" width="13.140625" style="90" customWidth="1"/>
    <col min="2" max="2" width="14.28515625" style="90" customWidth="1"/>
    <col min="3" max="3" width="62.140625" style="100" customWidth="1"/>
    <col min="4" max="4" width="14.85546875" style="455" customWidth="1"/>
    <col min="5" max="5" width="14.85546875" style="456" customWidth="1"/>
    <col min="6" max="6" width="14.85546875" style="455" customWidth="1"/>
    <col min="7" max="7" width="14.85546875" style="456" customWidth="1"/>
    <col min="8" max="8" width="14.85546875" style="455" customWidth="1"/>
    <col min="9" max="9" width="14.85546875" style="456" customWidth="1"/>
    <col min="10" max="10" width="14.85546875" style="455" customWidth="1"/>
    <col min="11" max="11" width="3.7109375" style="95" customWidth="1"/>
    <col min="12" max="12" width="32.5703125" style="235" customWidth="1"/>
    <col min="13" max="13" width="18.28515625" style="235" bestFit="1" customWidth="1"/>
    <col min="14" max="16384" width="9.140625" style="8"/>
  </cols>
  <sheetData>
    <row r="1" spans="1:13" s="5" customFormat="1" x14ac:dyDescent="0.25">
      <c r="A1" s="367" t="s">
        <v>415</v>
      </c>
      <c r="B1" s="367"/>
      <c r="C1" s="432"/>
      <c r="D1" s="433"/>
      <c r="E1" s="434"/>
      <c r="F1" s="433"/>
      <c r="G1" s="434"/>
      <c r="H1" s="433"/>
      <c r="I1" s="434"/>
      <c r="J1" s="433"/>
      <c r="K1" s="89"/>
      <c r="L1" s="91"/>
      <c r="M1" s="91"/>
    </row>
    <row r="3" spans="1:13" s="3" customFormat="1" ht="22.5" x14ac:dyDescent="0.25">
      <c r="A3" s="100"/>
      <c r="B3" s="100"/>
      <c r="C3" s="100"/>
      <c r="D3" s="486" t="s">
        <v>416</v>
      </c>
      <c r="E3" s="487"/>
      <c r="F3" s="486" t="s">
        <v>417</v>
      </c>
      <c r="G3" s="487"/>
      <c r="H3" s="486" t="s">
        <v>418</v>
      </c>
      <c r="I3" s="487"/>
      <c r="J3" s="332" t="s">
        <v>419</v>
      </c>
      <c r="K3" s="469"/>
      <c r="L3" s="196"/>
      <c r="M3" s="196"/>
    </row>
    <row r="4" spans="1:13" s="3" customFormat="1" ht="33.75" x14ac:dyDescent="0.25">
      <c r="A4" s="240" t="s">
        <v>211</v>
      </c>
      <c r="B4" s="240" t="s">
        <v>212</v>
      </c>
      <c r="C4" s="240" t="s">
        <v>0</v>
      </c>
      <c r="D4" s="332" t="s">
        <v>986</v>
      </c>
      <c r="E4" s="332" t="s">
        <v>987</v>
      </c>
      <c r="F4" s="332" t="s">
        <v>986</v>
      </c>
      <c r="G4" s="332" t="s">
        <v>987</v>
      </c>
      <c r="H4" s="332" t="s">
        <v>986</v>
      </c>
      <c r="I4" s="332" t="s">
        <v>987</v>
      </c>
      <c r="J4" s="332" t="s">
        <v>986</v>
      </c>
      <c r="K4" s="470"/>
      <c r="L4" s="240" t="s">
        <v>780</v>
      </c>
      <c r="M4" s="240" t="s">
        <v>729</v>
      </c>
    </row>
    <row r="5" spans="1:13" s="10" customFormat="1" x14ac:dyDescent="0.25">
      <c r="A5" s="435" t="s">
        <v>217</v>
      </c>
      <c r="B5" s="435"/>
      <c r="C5" s="435"/>
      <c r="D5" s="436"/>
      <c r="E5" s="437"/>
      <c r="F5" s="436"/>
      <c r="G5" s="437"/>
      <c r="H5" s="436"/>
      <c r="I5" s="437"/>
      <c r="J5" s="436"/>
      <c r="K5" s="471"/>
      <c r="L5" s="438"/>
      <c r="M5" s="438"/>
    </row>
    <row r="6" spans="1:13" s="320" customFormat="1" ht="33.75" x14ac:dyDescent="0.25">
      <c r="A6" s="167" t="s">
        <v>392</v>
      </c>
      <c r="B6" s="167" t="s">
        <v>226</v>
      </c>
      <c r="C6" s="372" t="str">
        <f>'Table 3'!C6</f>
        <v>Rees Road: Coburns Road (PSP boundary) to East West Arterial (IT01) 
Construction of a 2-lane arterial road (interim layout). 
Purchase of land to increase reserve width from 20m to 34m (ultimate).</v>
      </c>
      <c r="D6" s="348">
        <f>'Table 4'!M6</f>
        <v>700.52420377608826</v>
      </c>
      <c r="E6" s="360">
        <v>0</v>
      </c>
      <c r="F6" s="348">
        <f>'Table 4'!M6</f>
        <v>700.52420377608826</v>
      </c>
      <c r="G6" s="360">
        <v>0</v>
      </c>
      <c r="H6" s="348">
        <f>'Table 4'!M6</f>
        <v>700.52420377608826</v>
      </c>
      <c r="I6" s="360">
        <v>0</v>
      </c>
      <c r="J6" s="348">
        <f>'Table 4'!M6</f>
        <v>700.52420377608826</v>
      </c>
      <c r="K6" s="162"/>
      <c r="L6" s="343" t="str">
        <f>'Table 5'!P5</f>
        <v>Land partially acquired
Road constructed</v>
      </c>
      <c r="M6" s="343"/>
    </row>
    <row r="7" spans="1:13" s="320" customFormat="1" ht="22.5" x14ac:dyDescent="0.25">
      <c r="A7" s="167" t="s">
        <v>393</v>
      </c>
      <c r="B7" s="167" t="s">
        <v>226</v>
      </c>
      <c r="C7" s="372" t="str">
        <f>'Table 3'!C7</f>
        <v>Rees Road: Coburns Road (PSP boundary) to East West Arterial (IT01)
Offset cost estimate associated with removal of scattered trees for RD01.</v>
      </c>
      <c r="D7" s="348">
        <f>'Table 4'!M7</f>
        <v>10.067183933089225</v>
      </c>
      <c r="E7" s="360">
        <v>0</v>
      </c>
      <c r="F7" s="348">
        <f>'Table 4'!M7</f>
        <v>10.067183933089225</v>
      </c>
      <c r="G7" s="360">
        <v>0</v>
      </c>
      <c r="H7" s="348">
        <f>'Table 4'!M7</f>
        <v>10.067183933089225</v>
      </c>
      <c r="I7" s="360">
        <v>0</v>
      </c>
      <c r="J7" s="348">
        <f>'Table 4'!M7</f>
        <v>10.067183933089225</v>
      </c>
      <c r="K7" s="162"/>
      <c r="L7" s="343" t="str">
        <f>'Table 5'!P6</f>
        <v>Land partially acquired
Road constructed</v>
      </c>
      <c r="M7" s="343"/>
    </row>
    <row r="8" spans="1:13" s="320" customFormat="1" ht="33.75" x14ac:dyDescent="0.25">
      <c r="A8" s="167" t="s">
        <v>394</v>
      </c>
      <c r="B8" s="167" t="s">
        <v>226</v>
      </c>
      <c r="C8" s="372" t="str">
        <f>'Table 3'!C8</f>
        <v xml:space="preserve">East West Arterial: Rees Road (IT01) to Exford Road (IT02)
Construction of a 2-lane arterial road (interim standard) 
Purchase of land to increase reserve width from 0m to 34m (ultimate). </v>
      </c>
      <c r="D8" s="348">
        <f>'Table 4'!M8</f>
        <v>3965.2536144695855</v>
      </c>
      <c r="E8" s="360">
        <v>0</v>
      </c>
      <c r="F8" s="348">
        <f>'Table 4'!M8</f>
        <v>3965.2536144695855</v>
      </c>
      <c r="G8" s="360">
        <v>0</v>
      </c>
      <c r="H8" s="348">
        <f>'Table 4'!M8</f>
        <v>3965.2536144695855</v>
      </c>
      <c r="I8" s="360">
        <v>0</v>
      </c>
      <c r="J8" s="348">
        <f>'Table 4'!M8</f>
        <v>3965.2536144695855</v>
      </c>
      <c r="K8" s="162" t="s">
        <v>403</v>
      </c>
      <c r="L8" s="343" t="str">
        <f>'Table 5'!P7</f>
        <v>Land acquired</v>
      </c>
      <c r="M8" s="343"/>
    </row>
    <row r="9" spans="1:13" s="320" customFormat="1" ht="33.75" x14ac:dyDescent="0.25">
      <c r="A9" s="167" t="s">
        <v>225</v>
      </c>
      <c r="B9" s="167" t="s">
        <v>226</v>
      </c>
      <c r="C9" s="372" t="str">
        <f>'Table 3'!C9</f>
        <v xml:space="preserve">Exford Road: East West Arterial (IT02) to Exford Road (IT03)
Re-construct existing 2-lane road to provide 2-lane arterial road (interim layout). 
Purchase land to increase reserve width from 20m to 34m (ultimate). </v>
      </c>
      <c r="D9" s="348">
        <f>'Table 4'!M9</f>
        <v>1661.7077596467154</v>
      </c>
      <c r="E9" s="360">
        <v>0</v>
      </c>
      <c r="F9" s="348">
        <f>'Table 4'!M9</f>
        <v>1661.7077596467154</v>
      </c>
      <c r="G9" s="360">
        <v>0</v>
      </c>
      <c r="H9" s="348">
        <f>'Table 4'!M9</f>
        <v>1661.7077596467154</v>
      </c>
      <c r="I9" s="360">
        <v>0</v>
      </c>
      <c r="J9" s="348">
        <f>'Table 4'!M9</f>
        <v>1661.7077596467154</v>
      </c>
      <c r="K9" s="162" t="s">
        <v>403</v>
      </c>
      <c r="L9" s="343" t="str">
        <f>'Table 5'!P8</f>
        <v>Land partially acquired
Road partially constructed</v>
      </c>
      <c r="M9" s="343"/>
    </row>
    <row r="10" spans="1:13" s="320" customFormat="1" ht="22.5" x14ac:dyDescent="0.25">
      <c r="A10" s="167" t="s">
        <v>230</v>
      </c>
      <c r="B10" s="167" t="s">
        <v>226</v>
      </c>
      <c r="C10" s="372" t="str">
        <f>'Table 3'!C10</f>
        <v xml:space="preserve">Exford Road: East West Arterial (IT02) to Toolern Road (IT03)
Offset cost estimate associated with removal of scattered trees for RD03. </v>
      </c>
      <c r="D10" s="348">
        <f>'Table 4'!M10</f>
        <v>5.162691779886444</v>
      </c>
      <c r="E10" s="360">
        <v>0</v>
      </c>
      <c r="F10" s="348">
        <f>'Table 4'!M10</f>
        <v>5.162691779886444</v>
      </c>
      <c r="G10" s="360">
        <v>0</v>
      </c>
      <c r="H10" s="348">
        <f>'Table 4'!M10</f>
        <v>5.162691779886444</v>
      </c>
      <c r="I10" s="360">
        <v>0</v>
      </c>
      <c r="J10" s="348">
        <f>'Table 4'!M10</f>
        <v>5.162691779886444</v>
      </c>
      <c r="K10" s="162"/>
      <c r="L10" s="343" t="str">
        <f>'Table 5'!P9</f>
        <v>Land partially acquired
Road partially constructed</v>
      </c>
      <c r="M10" s="343"/>
    </row>
    <row r="11" spans="1:13" s="320" customFormat="1" ht="33.75" x14ac:dyDescent="0.25">
      <c r="A11" s="167" t="s">
        <v>231</v>
      </c>
      <c r="B11" s="167" t="s">
        <v>226</v>
      </c>
      <c r="C11" s="372" t="str">
        <f>'Table 3'!C11</f>
        <v xml:space="preserve">Exford Road: Exford Road (IT03) to Greigs Road (IT04)
Construction of a 2-lane arterial road (interim layout). 
Purchase land to increase reserve width from 20m to 34m (ultimate).  </v>
      </c>
      <c r="D11" s="348">
        <f>'Table 4'!M11</f>
        <v>10072.747257035453</v>
      </c>
      <c r="E11" s="360">
        <v>0</v>
      </c>
      <c r="F11" s="348">
        <f>'Table 4'!M11</f>
        <v>10072.747257035453</v>
      </c>
      <c r="G11" s="360">
        <v>0</v>
      </c>
      <c r="H11" s="348">
        <f>'Table 4'!M11</f>
        <v>10072.747257035453</v>
      </c>
      <c r="I11" s="360">
        <v>0</v>
      </c>
      <c r="J11" s="348">
        <f>'Table 4'!M11</f>
        <v>10072.747257035453</v>
      </c>
      <c r="K11" s="162"/>
      <c r="L11" s="343" t="str">
        <f>'Table 5'!P10</f>
        <v>Land partially acquired
Road partially constructed</v>
      </c>
      <c r="M11" s="343"/>
    </row>
    <row r="12" spans="1:13" s="320" customFormat="1" ht="22.5" x14ac:dyDescent="0.25">
      <c r="A12" s="167" t="s">
        <v>232</v>
      </c>
      <c r="B12" s="167" t="s">
        <v>226</v>
      </c>
      <c r="C12" s="372" t="str">
        <f>'Table 3'!C12</f>
        <v xml:space="preserve">Exford Road: Toolern Road (IT03) to Greigs Road (IT04)
Offset cost estimate associated with removal of scattered trees for RD04. </v>
      </c>
      <c r="D12" s="348">
        <f>'Table 4'!M12</f>
        <v>62.98314873469176</v>
      </c>
      <c r="E12" s="360">
        <v>0</v>
      </c>
      <c r="F12" s="348">
        <f>'Table 4'!M12</f>
        <v>62.98314873469176</v>
      </c>
      <c r="G12" s="360">
        <v>0</v>
      </c>
      <c r="H12" s="348">
        <f>'Table 4'!M12</f>
        <v>62.98314873469176</v>
      </c>
      <c r="I12" s="360">
        <v>0</v>
      </c>
      <c r="J12" s="348">
        <f>'Table 4'!M12</f>
        <v>62.98314873469176</v>
      </c>
      <c r="K12" s="162"/>
      <c r="L12" s="343" t="str">
        <f>'Table 5'!P11</f>
        <v>Land partially acquired
Road partially constructed</v>
      </c>
      <c r="M12" s="343"/>
    </row>
    <row r="13" spans="1:13" s="320" customFormat="1" ht="33.75" x14ac:dyDescent="0.25">
      <c r="A13" s="167" t="s">
        <v>233</v>
      </c>
      <c r="B13" s="167" t="s">
        <v>226</v>
      </c>
      <c r="C13" s="372" t="str">
        <f>'Table 3'!C13</f>
        <v xml:space="preserve">Exford Road: Exford Road (IT03) to Toolern Creek (BD03)
Construction of a 2-lane arterial road (interim layout). 
Purchase land to increase reserve width from 0m to 34m (ultimate). </v>
      </c>
      <c r="D13" s="348">
        <f>'Table 4'!M13</f>
        <v>1114.9052075677855</v>
      </c>
      <c r="E13" s="360">
        <v>0</v>
      </c>
      <c r="F13" s="348">
        <f>'Table 4'!M13</f>
        <v>1114.9052075677855</v>
      </c>
      <c r="G13" s="360">
        <v>0</v>
      </c>
      <c r="H13" s="348">
        <f>'Table 4'!M13</f>
        <v>1114.9052075677855</v>
      </c>
      <c r="I13" s="360">
        <v>0</v>
      </c>
      <c r="J13" s="348">
        <f>'Table 4'!M13</f>
        <v>1114.9052075677855</v>
      </c>
      <c r="K13" s="162"/>
      <c r="L13" s="343" t="str">
        <f>'Table 5'!P12</f>
        <v>Land partially acquired</v>
      </c>
      <c r="M13" s="343"/>
    </row>
    <row r="14" spans="1:13" s="320" customFormat="1" ht="22.5" x14ac:dyDescent="0.25">
      <c r="A14" s="167" t="s">
        <v>234</v>
      </c>
      <c r="B14" s="167" t="s">
        <v>226</v>
      </c>
      <c r="C14" s="372" t="str">
        <f>'Table 3'!C14</f>
        <v xml:space="preserve">Exford Road: Exford Road (IT03) to Toolern Creek (BD03)
Offset cost estimate associated with removal of EVC for RD05. </v>
      </c>
      <c r="D14" s="348">
        <f>'Table 4'!M14</f>
        <v>93.854588734171458</v>
      </c>
      <c r="E14" s="360">
        <v>0</v>
      </c>
      <c r="F14" s="348">
        <f>'Table 4'!M14</f>
        <v>93.854588734171458</v>
      </c>
      <c r="G14" s="360">
        <v>0</v>
      </c>
      <c r="H14" s="348">
        <f>'Table 4'!M14</f>
        <v>93.854588734171458</v>
      </c>
      <c r="I14" s="360">
        <v>0</v>
      </c>
      <c r="J14" s="348">
        <f>'Table 4'!M14</f>
        <v>93.854588734171458</v>
      </c>
      <c r="K14" s="162"/>
      <c r="L14" s="343" t="str">
        <f>'Table 5'!P13</f>
        <v>Land partially acquired</v>
      </c>
      <c r="M14" s="343"/>
    </row>
    <row r="15" spans="1:13" s="320" customFormat="1" ht="33.75" x14ac:dyDescent="0.25">
      <c r="A15" s="167" t="s">
        <v>235</v>
      </c>
      <c r="B15" s="167" t="s">
        <v>226</v>
      </c>
      <c r="C15" s="372" t="str">
        <f>'Table 3'!C15</f>
        <v xml:space="preserve">Exford Road: Toolern Creek (BD03) to Ferris Road (IT05)
Construction of a 2-lane arterial road (interim layout). 
Create road reserve 34m (ultimate).  </v>
      </c>
      <c r="D15" s="348">
        <f>'Table 4'!M15</f>
        <v>5122.8802591101548</v>
      </c>
      <c r="E15" s="360">
        <v>0</v>
      </c>
      <c r="F15" s="348">
        <f>'Table 4'!M15</f>
        <v>5122.8802591101548</v>
      </c>
      <c r="G15" s="360">
        <v>0</v>
      </c>
      <c r="H15" s="348">
        <f>'Table 4'!M15</f>
        <v>5122.8802591101548</v>
      </c>
      <c r="I15" s="360">
        <v>0</v>
      </c>
      <c r="J15" s="348">
        <f>'Table 4'!M15</f>
        <v>5122.8802591101548</v>
      </c>
      <c r="K15" s="162"/>
      <c r="L15" s="343" t="str">
        <f>'Table 5'!P14</f>
        <v>Not commenced</v>
      </c>
      <c r="M15" s="343"/>
    </row>
    <row r="16" spans="1:13" s="320" customFormat="1" ht="22.5" x14ac:dyDescent="0.25">
      <c r="A16" s="167" t="s">
        <v>236</v>
      </c>
      <c r="B16" s="167" t="s">
        <v>226</v>
      </c>
      <c r="C16" s="372" t="str">
        <f>'Table 3'!C16</f>
        <v xml:space="preserve">Exford Road: Toolern Creek (BD03) to Ferris Road (IT05)
Offset cost estimate associated with removal of scattered trees for RD06. </v>
      </c>
      <c r="D16" s="348">
        <f>'Table 4'!M16</f>
        <v>2.0649466365758959</v>
      </c>
      <c r="E16" s="360">
        <v>0</v>
      </c>
      <c r="F16" s="348">
        <f>'Table 4'!M16</f>
        <v>2.0649466365758959</v>
      </c>
      <c r="G16" s="360">
        <v>0</v>
      </c>
      <c r="H16" s="348">
        <f>'Table 4'!M16</f>
        <v>2.0649466365758959</v>
      </c>
      <c r="I16" s="360">
        <v>0</v>
      </c>
      <c r="J16" s="348">
        <f>'Table 4'!M16</f>
        <v>2.0649466365758959</v>
      </c>
      <c r="K16" s="162"/>
      <c r="L16" s="343" t="str">
        <f>'Table 5'!P15</f>
        <v>Not commenced</v>
      </c>
      <c r="M16" s="343"/>
    </row>
    <row r="17" spans="1:13" s="320" customFormat="1" ht="33.75" x14ac:dyDescent="0.25">
      <c r="A17" s="167" t="s">
        <v>237</v>
      </c>
      <c r="B17" s="167" t="s">
        <v>226</v>
      </c>
      <c r="C17" s="372" t="str">
        <f>'Table 3'!C17</f>
        <v xml:space="preserve">Exford Road: Ferris Road (IT05) to Mount Cottrell Road (IT06) 
Construction of a 2-lane arterial road. (interim layout).
Purchase land to increase reserve width from 0m to 34m (ultimate). </v>
      </c>
      <c r="D17" s="348">
        <f>'Table 4'!M17</f>
        <v>5717.1985665693273</v>
      </c>
      <c r="E17" s="360">
        <v>0</v>
      </c>
      <c r="F17" s="348">
        <f>'Table 4'!M17</f>
        <v>5717.1985665693273</v>
      </c>
      <c r="G17" s="360">
        <v>0</v>
      </c>
      <c r="H17" s="348">
        <f>'Table 4'!M17</f>
        <v>5717.1985665693273</v>
      </c>
      <c r="I17" s="360">
        <v>0</v>
      </c>
      <c r="J17" s="348">
        <f>'Table 4'!M17</f>
        <v>5717.1985665693273</v>
      </c>
      <c r="K17" s="162"/>
      <c r="L17" s="343" t="str">
        <f>'Table 5'!P16</f>
        <v>Not commenced</v>
      </c>
      <c r="M17" s="343"/>
    </row>
    <row r="18" spans="1:13" s="320" customFormat="1" ht="22.5" x14ac:dyDescent="0.25">
      <c r="A18" s="167" t="s">
        <v>238</v>
      </c>
      <c r="B18" s="167" t="s">
        <v>226</v>
      </c>
      <c r="C18" s="372" t="str">
        <f>'Table 3'!C18</f>
        <v xml:space="preserve">Exford Road: Ferris Road (IT05) to Mount Cottrell Road (IT06) 
Offset cost estimate associated with removal of EVC for RD07. </v>
      </c>
      <c r="D18" s="348">
        <f>'Table 4'!M18</f>
        <v>16.520223469500575</v>
      </c>
      <c r="E18" s="360">
        <v>0</v>
      </c>
      <c r="F18" s="348">
        <f>'Table 4'!M18</f>
        <v>16.520223469500575</v>
      </c>
      <c r="G18" s="360">
        <v>0</v>
      </c>
      <c r="H18" s="348">
        <f>'Table 4'!M18</f>
        <v>16.520223469500575</v>
      </c>
      <c r="I18" s="360">
        <v>0</v>
      </c>
      <c r="J18" s="348">
        <f>'Table 4'!M18</f>
        <v>16.520223469500575</v>
      </c>
      <c r="K18" s="162" t="s">
        <v>403</v>
      </c>
      <c r="L18" s="343" t="str">
        <f>'Table 5'!P17</f>
        <v>Not commenced</v>
      </c>
      <c r="M18" s="343"/>
    </row>
    <row r="19" spans="1:13" s="320" customFormat="1" ht="33.75" x14ac:dyDescent="0.25">
      <c r="A19" s="167" t="s">
        <v>239</v>
      </c>
      <c r="B19" s="167" t="s">
        <v>226</v>
      </c>
      <c r="C19" s="372" t="str">
        <f>'Table 3'!C19</f>
        <v xml:space="preserve">Exford Road: Mount Cottrell Road (IT06) to Paynes Road (IT07)
Construction of a 2-lane arterial road (interim layout). 
Purchase land to increase reserve width to 0m to 45m (ultimate).  </v>
      </c>
      <c r="D19" s="348">
        <f>'Table 4'!M19</f>
        <v>7993.0429183711967</v>
      </c>
      <c r="E19" s="360">
        <v>0</v>
      </c>
      <c r="F19" s="348">
        <f>'Table 4'!M19</f>
        <v>7993.0429183711967</v>
      </c>
      <c r="G19" s="360">
        <v>0</v>
      </c>
      <c r="H19" s="348">
        <f>'Table 4'!M19</f>
        <v>7993.0429183711967</v>
      </c>
      <c r="I19" s="360">
        <v>0</v>
      </c>
      <c r="J19" s="348">
        <f>'Table 4'!M19</f>
        <v>7993.0429183711967</v>
      </c>
      <c r="K19" s="162" t="s">
        <v>403</v>
      </c>
      <c r="L19" s="343" t="str">
        <f>'Table 5'!P18</f>
        <v>Not commenced</v>
      </c>
      <c r="M19" s="343"/>
    </row>
    <row r="20" spans="1:13" s="320" customFormat="1" ht="22.5" x14ac:dyDescent="0.25">
      <c r="A20" s="167" t="s">
        <v>240</v>
      </c>
      <c r="B20" s="167" t="s">
        <v>226</v>
      </c>
      <c r="C20" s="372" t="str">
        <f>'Table 3'!C20</f>
        <v xml:space="preserve">Exford Road: Mount Cottrell Road (IT06) to Paynes Road (IT07)
Offset cost estimate associated with removal of EVC for RD08. </v>
      </c>
      <c r="D20" s="348">
        <f>'Table 4'!M20</f>
        <v>47.547103546505198</v>
      </c>
      <c r="E20" s="360">
        <v>0</v>
      </c>
      <c r="F20" s="348">
        <f>'Table 4'!M20</f>
        <v>47.547103546505198</v>
      </c>
      <c r="G20" s="360">
        <v>0</v>
      </c>
      <c r="H20" s="348">
        <f>'Table 4'!M20</f>
        <v>47.547103546505198</v>
      </c>
      <c r="I20" s="360">
        <v>0</v>
      </c>
      <c r="J20" s="348">
        <f>'Table 4'!M20</f>
        <v>47.547103546505198</v>
      </c>
      <c r="K20" s="162" t="s">
        <v>403</v>
      </c>
      <c r="L20" s="343" t="str">
        <f>'Table 5'!P19</f>
        <v>Not commenced</v>
      </c>
      <c r="M20" s="343"/>
    </row>
    <row r="21" spans="1:13" s="320" customFormat="1" ht="22.5" x14ac:dyDescent="0.25">
      <c r="A21" s="167" t="s">
        <v>241</v>
      </c>
      <c r="B21" s="167" t="s">
        <v>226</v>
      </c>
      <c r="C21" s="372" t="str">
        <f>'Table 3'!C21</f>
        <v>Removed</v>
      </c>
      <c r="D21" s="348">
        <f>'Table 4'!M21</f>
        <v>0</v>
      </c>
      <c r="E21" s="360">
        <v>0</v>
      </c>
      <c r="F21" s="348">
        <f>'Table 4'!M21</f>
        <v>0</v>
      </c>
      <c r="G21" s="360">
        <v>0</v>
      </c>
      <c r="H21" s="348">
        <f>'Table 4'!M21</f>
        <v>0</v>
      </c>
      <c r="I21" s="360">
        <v>0</v>
      </c>
      <c r="J21" s="348">
        <f>'Table 4'!M21</f>
        <v>0</v>
      </c>
      <c r="K21" s="162" t="s">
        <v>403</v>
      </c>
      <c r="L21" s="343" t="str">
        <f>'Table 5'!P20</f>
        <v>Project deleted as it is located in the Rockbank South PSP area</v>
      </c>
      <c r="M21" s="343"/>
    </row>
    <row r="22" spans="1:13" s="320" customFormat="1" ht="22.5" x14ac:dyDescent="0.25">
      <c r="A22" s="167" t="s">
        <v>242</v>
      </c>
      <c r="B22" s="167" t="s">
        <v>226</v>
      </c>
      <c r="C22" s="372" t="str">
        <f>'Table 3'!C22</f>
        <v>Removed</v>
      </c>
      <c r="D22" s="348">
        <f>'Table 4'!M22</f>
        <v>0</v>
      </c>
      <c r="E22" s="360">
        <v>0</v>
      </c>
      <c r="F22" s="348">
        <f>'Table 4'!M22</f>
        <v>0</v>
      </c>
      <c r="G22" s="360">
        <v>0</v>
      </c>
      <c r="H22" s="348">
        <f>'Table 4'!M22</f>
        <v>0</v>
      </c>
      <c r="I22" s="360">
        <v>0</v>
      </c>
      <c r="J22" s="348">
        <f>'Table 4'!M22</f>
        <v>0</v>
      </c>
      <c r="K22" s="162" t="s">
        <v>403</v>
      </c>
      <c r="L22" s="343" t="str">
        <f>'Table 5'!P21</f>
        <v>Project deleted as it is located in the Rockbank South PSP area</v>
      </c>
      <c r="M22" s="343"/>
    </row>
    <row r="23" spans="1:13" s="320" customFormat="1" ht="45" x14ac:dyDescent="0.25">
      <c r="A23" s="167" t="s">
        <v>243</v>
      </c>
      <c r="B23" s="167" t="s">
        <v>226</v>
      </c>
      <c r="C23" s="372" t="str">
        <f>'Table 3'!C23</f>
        <v xml:space="preserve">Mount Cottrell Road: Melbourne Ballarat Rail Line to PSP southern boundary
Construction of a 2-lane arterial road (interim layout).
Purchase land (including native vegetation re-alignment) to increase reserve width from 20m to 41m (ultimate).  </v>
      </c>
      <c r="D23" s="348">
        <f>'Table 4'!M23</f>
        <v>7352.7436149248497</v>
      </c>
      <c r="E23" s="360">
        <v>0</v>
      </c>
      <c r="F23" s="348">
        <f>'Table 4'!M23</f>
        <v>7352.7436149248497</v>
      </c>
      <c r="G23" s="360">
        <v>0</v>
      </c>
      <c r="H23" s="348">
        <f>'Table 4'!M23</f>
        <v>7352.7436149248497</v>
      </c>
      <c r="I23" s="360">
        <v>0</v>
      </c>
      <c r="J23" s="348">
        <f>'Table 4'!M23</f>
        <v>7352.7436149248497</v>
      </c>
      <c r="K23" s="162" t="s">
        <v>403</v>
      </c>
      <c r="L23" s="343" t="str">
        <f>'Table 5'!P22</f>
        <v>Land partially acquired
Road partially constructed (north of IT26)</v>
      </c>
      <c r="M23" s="343"/>
    </row>
    <row r="24" spans="1:13" s="320" customFormat="1" ht="22.5" x14ac:dyDescent="0.25">
      <c r="A24" s="167" t="s">
        <v>244</v>
      </c>
      <c r="B24" s="167" t="s">
        <v>226</v>
      </c>
      <c r="C24" s="372" t="str">
        <f>'Table 3'!C24</f>
        <v xml:space="preserve">Mount Cottrell Road: Melbourne Ballarat Rail Line to PSP southern  boundary
Offset cost estimate associated with removal of scattered trees for RD11. </v>
      </c>
      <c r="D24" s="348">
        <f>'Table 4'!M24</f>
        <v>11.744505941192921</v>
      </c>
      <c r="E24" s="360">
        <v>0</v>
      </c>
      <c r="F24" s="348">
        <f>'Table 4'!M24</f>
        <v>11.744505941192921</v>
      </c>
      <c r="G24" s="360">
        <v>0</v>
      </c>
      <c r="H24" s="348">
        <f>'Table 4'!M24</f>
        <v>11.744505941192921</v>
      </c>
      <c r="I24" s="360">
        <v>0</v>
      </c>
      <c r="J24" s="348">
        <f>'Table 4'!M24</f>
        <v>11.744505941192921</v>
      </c>
      <c r="K24" s="162" t="s">
        <v>403</v>
      </c>
      <c r="L24" s="343" t="str">
        <f>'Table 5'!P23</f>
        <v>Land partially acquired
Road partially constructed (north of IT26)</v>
      </c>
      <c r="M24" s="343"/>
    </row>
    <row r="25" spans="1:13" s="320" customFormat="1" ht="22.5" x14ac:dyDescent="0.25">
      <c r="A25" s="167" t="s">
        <v>245</v>
      </c>
      <c r="B25" s="167" t="s">
        <v>226</v>
      </c>
      <c r="C25" s="372" t="str">
        <f>'Table 3'!C25</f>
        <v xml:space="preserve">Mount Cottrell Road: Melbourne Ballarat Rail Line to PSP southern  boundary
Offset cost estimate associated with removal of EVC for RD11. </v>
      </c>
      <c r="D25" s="348">
        <f>'Table 4'!M25</f>
        <v>3.4073245445735805</v>
      </c>
      <c r="E25" s="360">
        <v>0</v>
      </c>
      <c r="F25" s="348">
        <f>'Table 4'!M25</f>
        <v>3.4073245445735805</v>
      </c>
      <c r="G25" s="360">
        <v>0</v>
      </c>
      <c r="H25" s="348">
        <f>'Table 4'!M25</f>
        <v>3.4073245445735805</v>
      </c>
      <c r="I25" s="360">
        <v>0</v>
      </c>
      <c r="J25" s="348">
        <f>'Table 4'!M25</f>
        <v>3.4073245445735805</v>
      </c>
      <c r="K25" s="162" t="s">
        <v>403</v>
      </c>
      <c r="L25" s="343" t="str">
        <f>'Table 5'!P24</f>
        <v>Land partially acquired
Road partially constructed (north of IT26)</v>
      </c>
      <c r="M25" s="343"/>
    </row>
    <row r="26" spans="1:13" s="320" customFormat="1" ht="45" x14ac:dyDescent="0.25">
      <c r="A26" s="167" t="s">
        <v>246</v>
      </c>
      <c r="B26" s="167" t="s">
        <v>226</v>
      </c>
      <c r="C26" s="372" t="str">
        <f>'Table 3'!C26</f>
        <v xml:space="preserve">Mount Cottrell Road: Western Freeway to Melbourne Ballarat Rail Line
Construction of a 2-lane arterial road (interim layout).
Purchase land (including native vegetation re-alignment) to increase reserve width from 20m to 41m (ultimate). </v>
      </c>
      <c r="D26" s="348">
        <f>'Table 4'!M26</f>
        <v>2867.5896251877962</v>
      </c>
      <c r="E26" s="360">
        <v>0</v>
      </c>
      <c r="F26" s="348">
        <f>'Table 4'!M26</f>
        <v>2867.5896251877962</v>
      </c>
      <c r="G26" s="360">
        <v>0</v>
      </c>
      <c r="H26" s="348">
        <f>'Table 4'!M26</f>
        <v>2867.5896251877962</v>
      </c>
      <c r="I26" s="360">
        <v>0</v>
      </c>
      <c r="J26" s="348">
        <f>'Table 4'!M26</f>
        <v>2867.5896251877962</v>
      </c>
      <c r="K26" s="162" t="s">
        <v>403</v>
      </c>
      <c r="L26" s="343" t="str">
        <f>'Table 5'!P25</f>
        <v>Constructed</v>
      </c>
      <c r="M26" s="343"/>
    </row>
    <row r="27" spans="1:13" s="320" customFormat="1" x14ac:dyDescent="0.25">
      <c r="A27" s="167" t="s">
        <v>727</v>
      </c>
      <c r="B27" s="167"/>
      <c r="C27" s="372" t="str">
        <f>'Table 3'!C27</f>
        <v>Skipped Project - There is no RD13 in the Toolern DCP</v>
      </c>
      <c r="D27" s="348"/>
      <c r="E27" s="360"/>
      <c r="F27" s="348"/>
      <c r="G27" s="360"/>
      <c r="H27" s="348"/>
      <c r="I27" s="360"/>
      <c r="J27" s="348"/>
      <c r="K27" s="162"/>
      <c r="L27" s="343" t="str">
        <f>'Table 5'!P26</f>
        <v>This project was skipped in the Toolern DCP</v>
      </c>
      <c r="M27" s="343"/>
    </row>
    <row r="28" spans="1:13" s="320" customFormat="1" ht="33.75" x14ac:dyDescent="0.25">
      <c r="A28" s="167" t="s">
        <v>247</v>
      </c>
      <c r="B28" s="167" t="s">
        <v>226</v>
      </c>
      <c r="C28" s="372" t="str">
        <f>'Table 3'!C28</f>
        <v xml:space="preserve">Shogaki Drive: Ferris Road (IT13) to Industrial Connector Road (IT12)
Construction of a 2-lane arterial road (interim layout). 
Purchase land to increase reserve width from 40m to 45m (ultimate). </v>
      </c>
      <c r="D28" s="348">
        <f>'Table 4'!M28</f>
        <v>3477.0072256872859</v>
      </c>
      <c r="E28" s="360">
        <v>0</v>
      </c>
      <c r="F28" s="348">
        <f>'Table 4'!M28</f>
        <v>3477.0072256872859</v>
      </c>
      <c r="G28" s="360">
        <v>0</v>
      </c>
      <c r="H28" s="348">
        <f>'Table 4'!M28</f>
        <v>3477.0072256872859</v>
      </c>
      <c r="I28" s="360">
        <v>0</v>
      </c>
      <c r="J28" s="348">
        <f>'Table 4'!M28</f>
        <v>3477.0072256872859</v>
      </c>
      <c r="K28" s="162"/>
      <c r="L28" s="343" t="str">
        <f>'Table 5'!P27</f>
        <v>Not commenced</v>
      </c>
      <c r="M28" s="343"/>
    </row>
    <row r="29" spans="1:13" s="320" customFormat="1" ht="45" x14ac:dyDescent="0.25">
      <c r="A29" s="167" t="s">
        <v>248</v>
      </c>
      <c r="B29" s="167" t="s">
        <v>226</v>
      </c>
      <c r="C29" s="372" t="str">
        <f>'Table 3'!C29</f>
        <v xml:space="preserve">Ferris Road: Western Freeway to Shogaki Drive (IT13) 
Construction of additional lane in either direction to existing 4-lane divided road to provide ultimate 6-lane divided arterial road (ultimate layout). 
Purchase land to increase reserve width from 34m to 45m (ultimate).  </v>
      </c>
      <c r="D29" s="348">
        <f>'Table 4'!M29</f>
        <v>3565.0936217538065</v>
      </c>
      <c r="E29" s="360">
        <v>0</v>
      </c>
      <c r="F29" s="348">
        <f>'Table 4'!M29</f>
        <v>3565.0936217538065</v>
      </c>
      <c r="G29" s="360">
        <v>0</v>
      </c>
      <c r="H29" s="348">
        <f>'Table 4'!M29</f>
        <v>3565.0936217538065</v>
      </c>
      <c r="I29" s="360">
        <v>0</v>
      </c>
      <c r="J29" s="348">
        <f>'Table 4'!M29</f>
        <v>3565.0936217538065</v>
      </c>
      <c r="K29" s="162"/>
      <c r="L29" s="343" t="str">
        <f>'Table 5'!P28</f>
        <v>Not commenced</v>
      </c>
      <c r="M29" s="343"/>
    </row>
    <row r="30" spans="1:13" s="320" customFormat="1" ht="33.75" x14ac:dyDescent="0.25">
      <c r="A30" s="167" t="s">
        <v>249</v>
      </c>
      <c r="B30" s="167" t="s">
        <v>226</v>
      </c>
      <c r="C30" s="372" t="str">
        <f>'Table 3'!C30</f>
        <v xml:space="preserve">Ferris Road: Abey Road (IT13) to Melbourne Ballarat Rail Line
Construction of a 2-lane arterial road (interim layout). 
Purchase land to increase reserve width from 34m to 38m (ultimate). </v>
      </c>
      <c r="D30" s="348">
        <f>'Table 4'!M30</f>
        <v>449.18605331789774</v>
      </c>
      <c r="E30" s="360">
        <v>0</v>
      </c>
      <c r="F30" s="348">
        <f>'Table 4'!M30</f>
        <v>449.18605331789774</v>
      </c>
      <c r="G30" s="360">
        <v>0</v>
      </c>
      <c r="H30" s="348">
        <f>'Table 4'!M30</f>
        <v>449.18605331789774</v>
      </c>
      <c r="I30" s="360">
        <v>0</v>
      </c>
      <c r="J30" s="348">
        <f>'Table 4'!M30</f>
        <v>449.18605331789774</v>
      </c>
      <c r="K30" s="162"/>
      <c r="L30" s="343" t="str">
        <f>'Table 5'!P29</f>
        <v>Not commenced</v>
      </c>
      <c r="M30" s="343"/>
    </row>
    <row r="31" spans="1:13" s="320" customFormat="1" ht="45" x14ac:dyDescent="0.25">
      <c r="A31" s="167" t="s">
        <v>250</v>
      </c>
      <c r="B31" s="167" t="s">
        <v>226</v>
      </c>
      <c r="C31" s="372" t="str">
        <f>'Table 3'!C31</f>
        <v xml:space="preserve">Ferris Road: Melbourne Ballarat Rail Line to Exford Road (IT05)
Construction of a 2-lane arterial road (interim layout). </v>
      </c>
      <c r="D31" s="348">
        <f>'Table 4'!M31</f>
        <v>6621.2230987857465</v>
      </c>
      <c r="E31" s="360">
        <v>0</v>
      </c>
      <c r="F31" s="348">
        <f>'Table 4'!M31</f>
        <v>6621.2230987857465</v>
      </c>
      <c r="G31" s="360">
        <v>0</v>
      </c>
      <c r="H31" s="348">
        <f>'Table 4'!M31</f>
        <v>6621.2230987857465</v>
      </c>
      <c r="I31" s="360">
        <v>0</v>
      </c>
      <c r="J31" s="348">
        <f>'Table 4'!M31</f>
        <v>6621.2230987857465</v>
      </c>
      <c r="K31" s="162"/>
      <c r="L31" s="343" t="str">
        <f>'Table 5'!P30</f>
        <v>Partially constructed (Railway Line to Alfred Road)
Under construction (Alfred Road to Exford Road)</v>
      </c>
      <c r="M31" s="343"/>
    </row>
    <row r="32" spans="1:13" s="320" customFormat="1" ht="45" x14ac:dyDescent="0.25">
      <c r="A32" s="167" t="s">
        <v>251</v>
      </c>
      <c r="B32" s="167" t="s">
        <v>226</v>
      </c>
      <c r="C32" s="372" t="str">
        <f>'Table 3'!C32</f>
        <v xml:space="preserve">Ferris Road: Melbourne Ballarat Rail Line to Exford Road (IT05)
Offset cost estimate associated with removal of scattered trees for RD17. </v>
      </c>
      <c r="D32" s="348">
        <f>'Table 4'!M32</f>
        <v>2.0649466365758959</v>
      </c>
      <c r="E32" s="360">
        <v>0</v>
      </c>
      <c r="F32" s="348">
        <f>'Table 4'!M32</f>
        <v>2.0649466365758959</v>
      </c>
      <c r="G32" s="360">
        <v>0</v>
      </c>
      <c r="H32" s="348">
        <f>'Table 4'!M32</f>
        <v>2.0649466365758959</v>
      </c>
      <c r="I32" s="360">
        <v>0</v>
      </c>
      <c r="J32" s="348">
        <f>'Table 4'!M32</f>
        <v>2.0649466365758959</v>
      </c>
      <c r="K32" s="162"/>
      <c r="L32" s="343" t="str">
        <f>'Table 5'!P31</f>
        <v>Partially constructed (Railway Line to Alfred Road)
Under construction (Alfred Road to Exford Road)</v>
      </c>
      <c r="M32" s="343"/>
    </row>
    <row r="33" spans="1:13" s="320" customFormat="1" ht="33.75" x14ac:dyDescent="0.25">
      <c r="A33" s="167" t="s">
        <v>252</v>
      </c>
      <c r="B33" s="167" t="s">
        <v>226</v>
      </c>
      <c r="C33" s="372" t="str">
        <f>'Table 3'!C33</f>
        <v xml:space="preserve">Abey Road: Toolern Creek (BD01) to Ferris Road (IT13) 
Construction of a 2-lane arterial road (interim layout).
Purchase land to increase reserve with from 19m to 38m (ultimate).  </v>
      </c>
      <c r="D33" s="348">
        <f>'Table 4'!M33</f>
        <v>6856.7524730581381</v>
      </c>
      <c r="E33" s="360">
        <v>0</v>
      </c>
      <c r="F33" s="348">
        <f>'Table 4'!M33</f>
        <v>6856.7524730581381</v>
      </c>
      <c r="G33" s="360">
        <v>0</v>
      </c>
      <c r="H33" s="348">
        <f>'Table 4'!M33</f>
        <v>6856.7524730581381</v>
      </c>
      <c r="I33" s="360">
        <v>0</v>
      </c>
      <c r="J33" s="348">
        <f>'Table 4'!M33</f>
        <v>6856.7524730581381</v>
      </c>
      <c r="K33" s="162"/>
      <c r="L33" s="343" t="str">
        <f>'Table 5'!P32</f>
        <v>Constructed</v>
      </c>
      <c r="M33" s="343"/>
    </row>
    <row r="34" spans="1:13" s="320" customFormat="1" ht="22.5" x14ac:dyDescent="0.25">
      <c r="A34" s="167" t="s">
        <v>253</v>
      </c>
      <c r="B34" s="167" t="s">
        <v>226</v>
      </c>
      <c r="C34" s="372" t="str">
        <f>'Table 3'!C34</f>
        <v xml:space="preserve">Abey Road: Toolern Creek (BD01) to Ferris Road (IT13) 
Offset cost estimate associated with removal of scattered trees for RD18. </v>
      </c>
      <c r="D34" s="348">
        <f>'Table 4'!M34</f>
        <v>0.34933043698823468</v>
      </c>
      <c r="E34" s="360">
        <v>0</v>
      </c>
      <c r="F34" s="348">
        <f>'Table 4'!M34</f>
        <v>0.34933043698823468</v>
      </c>
      <c r="G34" s="360">
        <v>0</v>
      </c>
      <c r="H34" s="348">
        <f>'Table 4'!M34</f>
        <v>0.34933043698823468</v>
      </c>
      <c r="I34" s="360">
        <v>0</v>
      </c>
      <c r="J34" s="348">
        <f>'Table 4'!M34</f>
        <v>0.34933043698823468</v>
      </c>
      <c r="K34" s="162"/>
      <c r="L34" s="343" t="str">
        <f>'Table 5'!P33</f>
        <v>Constructed</v>
      </c>
      <c r="M34" s="343"/>
    </row>
    <row r="35" spans="1:13" s="320" customFormat="1" ht="22.5" x14ac:dyDescent="0.25">
      <c r="A35" s="167" t="s">
        <v>254</v>
      </c>
      <c r="B35" s="167" t="s">
        <v>226</v>
      </c>
      <c r="C35" s="372" t="str">
        <f>'Table 3'!C35</f>
        <v xml:space="preserve">Abey Road: Toolern Creek (BD01) to Ferris Road (IT13) 
Offset cost estimate associated with removal of EVC for RD18. </v>
      </c>
      <c r="D35" s="348">
        <f>'Table 4'!M35</f>
        <v>28.767418719147745</v>
      </c>
      <c r="E35" s="360">
        <v>0</v>
      </c>
      <c r="F35" s="348">
        <f>'Table 4'!M35</f>
        <v>28.767418719147745</v>
      </c>
      <c r="G35" s="360">
        <v>0</v>
      </c>
      <c r="H35" s="348">
        <f>'Table 4'!M35</f>
        <v>28.767418719147745</v>
      </c>
      <c r="I35" s="360">
        <v>0</v>
      </c>
      <c r="J35" s="348">
        <f>'Table 4'!M35</f>
        <v>28.767418719147745</v>
      </c>
      <c r="K35" s="162"/>
      <c r="L35" s="343" t="str">
        <f>'Table 5'!P34</f>
        <v>Constructed</v>
      </c>
      <c r="M35" s="343"/>
    </row>
    <row r="36" spans="1:13" s="320" customFormat="1" ht="33.75" x14ac:dyDescent="0.25">
      <c r="A36" s="167" t="s">
        <v>255</v>
      </c>
      <c r="B36" s="167" t="s">
        <v>226</v>
      </c>
      <c r="C36" s="372" t="str">
        <f>'Table 3'!C36</f>
        <v xml:space="preserve">Shogaki Drive: Industrial Connector Road (IT12) to Mount Cottrell Road (IT10)
Construction of a 2-lane arterial road (interim layout). 
Purchase land to increase reserve width from 0m to 45m (ultimate). </v>
      </c>
      <c r="D36" s="348">
        <f>'Table 4'!M36</f>
        <v>4135.4845633044351</v>
      </c>
      <c r="E36" s="360">
        <v>0</v>
      </c>
      <c r="F36" s="348">
        <f>'Table 4'!M36</f>
        <v>4135.4845633044351</v>
      </c>
      <c r="G36" s="360">
        <v>0</v>
      </c>
      <c r="H36" s="348">
        <f>'Table 4'!M36</f>
        <v>4135.4845633044351</v>
      </c>
      <c r="I36" s="360">
        <v>0</v>
      </c>
      <c r="J36" s="348">
        <f>'Table 4'!M36</f>
        <v>4135.4845633044351</v>
      </c>
      <c r="K36" s="162"/>
      <c r="L36" s="343" t="str">
        <f>'Table 5'!P35</f>
        <v>Not commenced</v>
      </c>
      <c r="M36" s="343"/>
    </row>
    <row r="37" spans="1:13" s="320" customFormat="1" ht="22.5" x14ac:dyDescent="0.25">
      <c r="A37" s="167" t="s">
        <v>256</v>
      </c>
      <c r="B37" s="167" t="s">
        <v>226</v>
      </c>
      <c r="C37" s="372" t="str">
        <f>'Table 3'!C37</f>
        <v xml:space="preserve">Shogaki Drive: Industrial Connector Road (IT12) to Mount Cottrell Road (IT10)
Offset cost estimate associated with removal of EVC for RD19. </v>
      </c>
      <c r="D37" s="348">
        <f>'Table 4'!M37</f>
        <v>10.067183933089225</v>
      </c>
      <c r="E37" s="360">
        <v>0</v>
      </c>
      <c r="F37" s="348">
        <f>'Table 4'!M37</f>
        <v>10.067183933089225</v>
      </c>
      <c r="G37" s="360">
        <v>0</v>
      </c>
      <c r="H37" s="348">
        <f>'Table 4'!M37</f>
        <v>10.067183933089225</v>
      </c>
      <c r="I37" s="360">
        <v>0</v>
      </c>
      <c r="J37" s="348">
        <f>'Table 4'!M37</f>
        <v>10.067183933089225</v>
      </c>
      <c r="K37" s="162"/>
      <c r="L37" s="343" t="str">
        <f>'Table 5'!P36</f>
        <v>Not commenced</v>
      </c>
      <c r="M37" s="343"/>
    </row>
    <row r="38" spans="1:13" s="320" customFormat="1" ht="33.75" x14ac:dyDescent="0.25">
      <c r="A38" s="167" t="s">
        <v>257</v>
      </c>
      <c r="B38" s="167" t="s">
        <v>226</v>
      </c>
      <c r="C38" s="372" t="str">
        <f>'Table 3'!C38</f>
        <v xml:space="preserve">Ferris Road: Melbourne Ballarat Rail Line to Exford Road (IT05)
Purchase land to increase reserve width from 20m to 38m, for road section on Property 30 only. </v>
      </c>
      <c r="D38" s="348">
        <f>'Table 4'!M38</f>
        <v>422.74498071632513</v>
      </c>
      <c r="E38" s="360">
        <v>0</v>
      </c>
      <c r="F38" s="348">
        <f>'Table 4'!M38</f>
        <v>422.74498071632513</v>
      </c>
      <c r="G38" s="360">
        <v>0</v>
      </c>
      <c r="H38" s="348">
        <f>'Table 4'!M38</f>
        <v>422.74498071632513</v>
      </c>
      <c r="I38" s="360">
        <v>0</v>
      </c>
      <c r="J38" s="348">
        <f>'Table 4'!M38</f>
        <v>422.74498071632513</v>
      </c>
      <c r="K38" s="162"/>
      <c r="L38" s="343" t="str">
        <f>'Table 5'!P37</f>
        <v>Land acquired</v>
      </c>
      <c r="M38" s="343"/>
    </row>
    <row r="39" spans="1:13" s="320" customFormat="1" ht="22.5" x14ac:dyDescent="0.25">
      <c r="A39" s="167" t="s">
        <v>258</v>
      </c>
      <c r="B39" s="167" t="s">
        <v>226</v>
      </c>
      <c r="C39" s="372" t="str">
        <f>'Table 3'!C39</f>
        <v xml:space="preserve">Ferris Road: Melbourne Ballarat Rail Line to Exford Road (IT05)
Offset cost estimate associated with removal of EVC for RD20. </v>
      </c>
      <c r="D39" s="348">
        <f>'Table 4'!M39</f>
        <v>0.47159478918033004</v>
      </c>
      <c r="E39" s="360">
        <v>0</v>
      </c>
      <c r="F39" s="348">
        <f>'Table 4'!M39</f>
        <v>0.47159478918033004</v>
      </c>
      <c r="G39" s="360">
        <v>0</v>
      </c>
      <c r="H39" s="348">
        <f>'Table 4'!M39</f>
        <v>0.47159478918033004</v>
      </c>
      <c r="I39" s="360">
        <v>0</v>
      </c>
      <c r="J39" s="348">
        <f>'Table 4'!M39</f>
        <v>0.47159478918033004</v>
      </c>
      <c r="K39" s="162"/>
      <c r="L39" s="343" t="str">
        <f>'Table 5'!P38</f>
        <v>Land acquired</v>
      </c>
      <c r="M39" s="343"/>
    </row>
    <row r="40" spans="1:13" s="320" customFormat="1" ht="33.75" x14ac:dyDescent="0.25">
      <c r="A40" s="167" t="s">
        <v>259</v>
      </c>
      <c r="B40" s="167" t="s">
        <v>226</v>
      </c>
      <c r="C40" s="372" t="str">
        <f>'Table 3'!C40</f>
        <v xml:space="preserve">Ferris Road: Melbourne Ballarat Rail Line to Exford Road (IT05)
Purchase land to increase reserve width from 20m to 38m, for balance of required land (excluding Property 30). </v>
      </c>
      <c r="D40" s="348">
        <f>'Table 4'!M40</f>
        <v>1251.975519813732</v>
      </c>
      <c r="E40" s="360">
        <v>0</v>
      </c>
      <c r="F40" s="348">
        <f>'Table 4'!M40</f>
        <v>1251.975519813732</v>
      </c>
      <c r="G40" s="360">
        <v>0</v>
      </c>
      <c r="H40" s="348">
        <f>'Table 4'!M40</f>
        <v>1251.975519813732</v>
      </c>
      <c r="I40" s="360">
        <v>0</v>
      </c>
      <c r="J40" s="348">
        <f>'Table 4'!M40</f>
        <v>1251.975519813732</v>
      </c>
      <c r="K40" s="162"/>
      <c r="L40" s="343" t="str">
        <f>'Table 5'!P39</f>
        <v>Not commenced</v>
      </c>
      <c r="M40" s="343"/>
    </row>
    <row r="41" spans="1:13" s="320" customFormat="1" ht="22.5" x14ac:dyDescent="0.25">
      <c r="A41" s="167" t="s">
        <v>511</v>
      </c>
      <c r="B41" s="167" t="s">
        <v>226</v>
      </c>
      <c r="C41" s="372" t="str">
        <f>'Table 3'!C41</f>
        <v>Paynes Road: Alfred Road (IT30) to East-West Connector Road 1 (IT31)
Construction of a 2-lane arterial road (interim standard).</v>
      </c>
      <c r="D41" s="348">
        <f>'Table 4'!M41</f>
        <v>454.83792933004679</v>
      </c>
      <c r="E41" s="360">
        <v>0</v>
      </c>
      <c r="F41" s="348">
        <f>'Table 4'!M41</f>
        <v>454.83792933004679</v>
      </c>
      <c r="G41" s="360">
        <v>0</v>
      </c>
      <c r="H41" s="348">
        <f>'Table 4'!M41</f>
        <v>454.83792933004679</v>
      </c>
      <c r="I41" s="360">
        <v>0</v>
      </c>
      <c r="J41" s="348">
        <f>'Table 4'!M41</f>
        <v>454.83792933004679</v>
      </c>
      <c r="K41" s="162"/>
      <c r="L41" s="343" t="str">
        <f>'Table 5'!P40</f>
        <v>New project from Rockbank DCP - RD06</v>
      </c>
      <c r="M41" s="343" t="s">
        <v>732</v>
      </c>
    </row>
    <row r="42" spans="1:13" s="320" customFormat="1" ht="22.5" x14ac:dyDescent="0.25">
      <c r="A42" s="167" t="s">
        <v>512</v>
      </c>
      <c r="B42" s="167" t="s">
        <v>226</v>
      </c>
      <c r="C42" s="372" t="str">
        <f>'Table 3'!C42</f>
        <v>Paynes Road: East-West Connector Road 1 (IT31) to Exford Road (IT07)
Construction of a 2-lane arterial road (interim standard).</v>
      </c>
      <c r="D42" s="348">
        <f>'Table 4'!M42</f>
        <v>582.56232561769548</v>
      </c>
      <c r="E42" s="360">
        <v>0</v>
      </c>
      <c r="F42" s="348">
        <f>'Table 4'!M42</f>
        <v>582.56232561769548</v>
      </c>
      <c r="G42" s="360">
        <v>0</v>
      </c>
      <c r="H42" s="348">
        <f>'Table 4'!M42</f>
        <v>582.56232561769548</v>
      </c>
      <c r="I42" s="360">
        <v>0</v>
      </c>
      <c r="J42" s="348">
        <f>'Table 4'!M42</f>
        <v>582.56232561769548</v>
      </c>
      <c r="K42" s="162"/>
      <c r="L42" s="343" t="str">
        <f>'Table 5'!P41</f>
        <v>New project from Rockbank DCP - RD07</v>
      </c>
      <c r="M42" s="343" t="s">
        <v>732</v>
      </c>
    </row>
    <row r="43" spans="1:13" s="320" customFormat="1" ht="22.5" x14ac:dyDescent="0.25">
      <c r="A43" s="167" t="s">
        <v>513</v>
      </c>
      <c r="B43" s="167" t="s">
        <v>226</v>
      </c>
      <c r="C43" s="372" t="str">
        <f>'Table 3'!C43</f>
        <v>Paynes Road: Exford Road (IT07) to East-West Connector Road 2 (IT32)
Construction of a 2-lane arterial road (interim standard).</v>
      </c>
      <c r="D43" s="348">
        <f>'Table 4'!M43</f>
        <v>308.32914599010127</v>
      </c>
      <c r="E43" s="360">
        <v>0</v>
      </c>
      <c r="F43" s="348">
        <f>'Table 4'!M43</f>
        <v>308.32914599010127</v>
      </c>
      <c r="G43" s="360">
        <v>0</v>
      </c>
      <c r="H43" s="348">
        <f>'Table 4'!M43</f>
        <v>308.32914599010127</v>
      </c>
      <c r="I43" s="360">
        <v>0</v>
      </c>
      <c r="J43" s="348">
        <f>'Table 4'!M43</f>
        <v>308.32914599010127</v>
      </c>
      <c r="K43" s="162"/>
      <c r="L43" s="343" t="str">
        <f>'Table 5'!P42</f>
        <v>New project from Rockbank DCP - RD08</v>
      </c>
      <c r="M43" s="343" t="s">
        <v>732</v>
      </c>
    </row>
    <row r="44" spans="1:13" s="11" customFormat="1" x14ac:dyDescent="0.25">
      <c r="A44" s="439" t="s">
        <v>14</v>
      </c>
      <c r="B44" s="439"/>
      <c r="C44" s="369"/>
      <c r="D44" s="440">
        <f>SUM(D6:D43)</f>
        <v>74988.862155869341</v>
      </c>
      <c r="E44" s="440">
        <f t="shared" ref="E44:J44" si="0">SUM(E6:E43)</f>
        <v>0</v>
      </c>
      <c r="F44" s="440">
        <f t="shared" si="0"/>
        <v>74988.862155869341</v>
      </c>
      <c r="G44" s="440">
        <f t="shared" si="0"/>
        <v>0</v>
      </c>
      <c r="H44" s="440">
        <f t="shared" si="0"/>
        <v>74988.862155869341</v>
      </c>
      <c r="I44" s="440">
        <f t="shared" si="0"/>
        <v>0</v>
      </c>
      <c r="J44" s="440">
        <f t="shared" si="0"/>
        <v>74988.862155869341</v>
      </c>
      <c r="K44" s="89"/>
      <c r="L44" s="347"/>
      <c r="M44" s="347"/>
    </row>
    <row r="45" spans="1:13" s="10" customFormat="1" x14ac:dyDescent="0.25">
      <c r="A45" s="435" t="s">
        <v>260</v>
      </c>
      <c r="B45" s="435"/>
      <c r="C45" s="435"/>
      <c r="D45" s="436"/>
      <c r="E45" s="437"/>
      <c r="F45" s="436"/>
      <c r="G45" s="437"/>
      <c r="H45" s="436"/>
      <c r="I45" s="437"/>
      <c r="J45" s="436"/>
      <c r="K45" s="471"/>
      <c r="L45" s="438"/>
      <c r="M45" s="438"/>
    </row>
    <row r="46" spans="1:13" s="320" customFormat="1" ht="22.5" x14ac:dyDescent="0.25">
      <c r="A46" s="167" t="s">
        <v>261</v>
      </c>
      <c r="B46" s="167" t="s">
        <v>226</v>
      </c>
      <c r="C46" s="372" t="str">
        <f>'Table 3'!C46</f>
        <v>Intersection: Rees Road and East West Arterial
Construction of signalised 4-way intersection (interim standard).</v>
      </c>
      <c r="D46" s="348">
        <f>'Table 4'!M46</f>
        <v>3581.903913317768</v>
      </c>
      <c r="E46" s="360">
        <v>0</v>
      </c>
      <c r="F46" s="348">
        <f>'Table 4'!M46</f>
        <v>3581.903913317768</v>
      </c>
      <c r="G46" s="360">
        <v>0</v>
      </c>
      <c r="H46" s="348">
        <f>'Table 4'!M46</f>
        <v>3581.903913317768</v>
      </c>
      <c r="I46" s="360">
        <v>0</v>
      </c>
      <c r="J46" s="348">
        <f>'Table 4'!M46</f>
        <v>3581.903913317768</v>
      </c>
      <c r="K46" s="162"/>
      <c r="L46" s="343" t="str">
        <f>'Table 5'!P45</f>
        <v>Not commenced</v>
      </c>
      <c r="M46" s="343"/>
    </row>
    <row r="47" spans="1:13" s="320" customFormat="1" ht="22.5" x14ac:dyDescent="0.25">
      <c r="A47" s="167" t="s">
        <v>262</v>
      </c>
      <c r="B47" s="167" t="s">
        <v>226</v>
      </c>
      <c r="C47" s="372" t="str">
        <f>'Table 3'!C47</f>
        <v xml:space="preserve">Intersection: East West Arterial and Exford Road
Construction of signalised T-intersection (interim standard). </v>
      </c>
      <c r="D47" s="348">
        <f>'Table 4'!M47</f>
        <v>4561.1120144123524</v>
      </c>
      <c r="E47" s="360">
        <v>0</v>
      </c>
      <c r="F47" s="348">
        <f>'Table 4'!M47</f>
        <v>4561.1120144123524</v>
      </c>
      <c r="G47" s="360">
        <v>0</v>
      </c>
      <c r="H47" s="348">
        <f>'Table 4'!M47</f>
        <v>4561.1120144123524</v>
      </c>
      <c r="I47" s="360">
        <v>0</v>
      </c>
      <c r="J47" s="348">
        <f>'Table 4'!M47</f>
        <v>4561.1120144123524</v>
      </c>
      <c r="K47" s="162"/>
      <c r="L47" s="343" t="str">
        <f>'Table 5'!P46</f>
        <v>Not commenced</v>
      </c>
      <c r="M47" s="343"/>
    </row>
    <row r="48" spans="1:13" s="320" customFormat="1" ht="22.5" x14ac:dyDescent="0.25">
      <c r="A48" s="167" t="s">
        <v>263</v>
      </c>
      <c r="B48" s="167" t="s">
        <v>226</v>
      </c>
      <c r="C48" s="372" t="str">
        <f>'Table 3'!C48</f>
        <v>Intersection: Exford Road and Exford Road
Construction of signalised T-intersection (interim standard).</v>
      </c>
      <c r="D48" s="348">
        <f>'Table 4'!M48</f>
        <v>7432.7724916589168</v>
      </c>
      <c r="E48" s="360">
        <v>0</v>
      </c>
      <c r="F48" s="348">
        <f>'Table 4'!M48</f>
        <v>7432.7724916589168</v>
      </c>
      <c r="G48" s="360">
        <v>0</v>
      </c>
      <c r="H48" s="348">
        <f>'Table 4'!M48</f>
        <v>7432.7724916589168</v>
      </c>
      <c r="I48" s="360">
        <v>0</v>
      </c>
      <c r="J48" s="348">
        <f>'Table 4'!M48</f>
        <v>7432.7724916589168</v>
      </c>
      <c r="K48" s="162"/>
      <c r="L48" s="343" t="str">
        <f>'Table 5'!P47</f>
        <v>Not commenced</v>
      </c>
      <c r="M48" s="343"/>
    </row>
    <row r="49" spans="1:13" s="320" customFormat="1" ht="33.75" x14ac:dyDescent="0.25">
      <c r="A49" s="167" t="s">
        <v>264</v>
      </c>
      <c r="B49" s="167" t="s">
        <v>226</v>
      </c>
      <c r="C49" s="372" t="str">
        <f>'Table 3'!C49</f>
        <v xml:space="preserve">Intersection: Exford Road and Greigs Road
Upgrade of protected right-turn lane and left-turn deceleration lane, including drainage and landscaping.  </v>
      </c>
      <c r="D49" s="348">
        <f>'Table 4'!M49</f>
        <v>1974.7159478918034</v>
      </c>
      <c r="E49" s="360">
        <v>0</v>
      </c>
      <c r="F49" s="348">
        <f>'Table 4'!M49</f>
        <v>1974.7159478918034</v>
      </c>
      <c r="G49" s="360">
        <v>0</v>
      </c>
      <c r="H49" s="348">
        <f>'Table 4'!M49</f>
        <v>1974.7159478918034</v>
      </c>
      <c r="I49" s="360">
        <v>0</v>
      </c>
      <c r="J49" s="348">
        <f>'Table 4'!M49</f>
        <v>1974.7159478918034</v>
      </c>
      <c r="K49" s="162"/>
      <c r="L49" s="343" t="str">
        <f>'Table 5'!P48</f>
        <v>Not commenced</v>
      </c>
      <c r="M49" s="343"/>
    </row>
    <row r="50" spans="1:13" s="320" customFormat="1" ht="22.5" x14ac:dyDescent="0.25">
      <c r="A50" s="167" t="s">
        <v>265</v>
      </c>
      <c r="B50" s="167" t="s">
        <v>226</v>
      </c>
      <c r="C50" s="372" t="str">
        <f>'Table 3'!C50</f>
        <v>Intersection: Exford Road and Ferris Road
Purchase of land and construction of signalised 4-way intersection (interim standard).</v>
      </c>
      <c r="D50" s="348">
        <f>'Table 4'!M50</f>
        <v>7467.6417984221862</v>
      </c>
      <c r="E50" s="360">
        <v>0</v>
      </c>
      <c r="F50" s="348">
        <f>'Table 4'!M50</f>
        <v>7467.6417984221862</v>
      </c>
      <c r="G50" s="360">
        <v>0</v>
      </c>
      <c r="H50" s="348">
        <f>'Table 4'!M50</f>
        <v>7467.6417984221862</v>
      </c>
      <c r="I50" s="360">
        <v>0</v>
      </c>
      <c r="J50" s="348">
        <f>'Table 4'!M50</f>
        <v>7467.6417984221862</v>
      </c>
      <c r="K50" s="162"/>
      <c r="L50" s="343" t="str">
        <f>'Table 5'!P49</f>
        <v>Not commenced</v>
      </c>
      <c r="M50" s="343"/>
    </row>
    <row r="51" spans="1:13" s="320" customFormat="1" ht="22.5" x14ac:dyDescent="0.25">
      <c r="A51" s="167" t="s">
        <v>266</v>
      </c>
      <c r="B51" s="167" t="s">
        <v>226</v>
      </c>
      <c r="C51" s="372" t="str">
        <f>'Table 3'!C51</f>
        <v>Intersection: Exford Road and Mount Cottrell Road
Purchase of land and construction of signalised 4-way intersection (interim standard).</v>
      </c>
      <c r="D51" s="348">
        <f>'Table 4'!M51</f>
        <v>10528.567154666129</v>
      </c>
      <c r="E51" s="360">
        <v>0</v>
      </c>
      <c r="F51" s="348">
        <f>'Table 4'!M51</f>
        <v>10528.567154666129</v>
      </c>
      <c r="G51" s="360">
        <v>0</v>
      </c>
      <c r="H51" s="348">
        <f>'Table 4'!M51</f>
        <v>10528.567154666129</v>
      </c>
      <c r="I51" s="360">
        <v>0</v>
      </c>
      <c r="J51" s="348">
        <f>'Table 4'!M51</f>
        <v>10528.567154666129</v>
      </c>
      <c r="K51" s="162"/>
      <c r="L51" s="343" t="str">
        <f>'Table 5'!P50</f>
        <v>Not commenced</v>
      </c>
      <c r="M51" s="343"/>
    </row>
    <row r="52" spans="1:13" s="320" customFormat="1" ht="22.5" x14ac:dyDescent="0.25">
      <c r="A52" s="167" t="s">
        <v>267</v>
      </c>
      <c r="B52" s="167" t="s">
        <v>226</v>
      </c>
      <c r="C52" s="372" t="str">
        <f>'Table 3'!C52</f>
        <v xml:space="preserve">Intersection: Exford Road and Paynes Road
Construction of signalised 4-way intersection (interim standard). </v>
      </c>
      <c r="D52" s="348">
        <f>'Table 4'!M52</f>
        <v>1827.4860038892537</v>
      </c>
      <c r="E52" s="360">
        <v>0</v>
      </c>
      <c r="F52" s="348">
        <f>'Table 4'!M52</f>
        <v>1827.4860038892537</v>
      </c>
      <c r="G52" s="360">
        <v>0</v>
      </c>
      <c r="H52" s="348">
        <f>'Table 4'!M52</f>
        <v>1827.4860038892537</v>
      </c>
      <c r="I52" s="360">
        <v>0</v>
      </c>
      <c r="J52" s="348">
        <f>'Table 4'!M52</f>
        <v>1827.4860038892537</v>
      </c>
      <c r="K52" s="162"/>
      <c r="L52" s="343" t="str">
        <f>'Table 5'!P51</f>
        <v>Not commenced</v>
      </c>
      <c r="M52" s="343"/>
    </row>
    <row r="53" spans="1:13" s="320" customFormat="1" ht="22.5" x14ac:dyDescent="0.25">
      <c r="A53" s="167" t="s">
        <v>268</v>
      </c>
      <c r="B53" s="167" t="s">
        <v>226</v>
      </c>
      <c r="C53" s="372" t="str">
        <f>'Table 3'!C53</f>
        <v>Deleted</v>
      </c>
      <c r="D53" s="348">
        <f>'Table 4'!M53</f>
        <v>0</v>
      </c>
      <c r="E53" s="360">
        <v>0</v>
      </c>
      <c r="F53" s="348">
        <f>'Table 4'!M53</f>
        <v>0</v>
      </c>
      <c r="G53" s="360">
        <v>0</v>
      </c>
      <c r="H53" s="348">
        <f>'Table 4'!M53</f>
        <v>0</v>
      </c>
      <c r="I53" s="360">
        <v>0</v>
      </c>
      <c r="J53" s="348">
        <f>'Table 4'!M53</f>
        <v>0</v>
      </c>
      <c r="K53" s="162"/>
      <c r="L53" s="343" t="str">
        <f>'Table 5'!P52</f>
        <v>Project deleted as it is located in the Rockbank South PSP area</v>
      </c>
      <c r="M53" s="343"/>
    </row>
    <row r="54" spans="1:13" s="320" customFormat="1" ht="22.5" x14ac:dyDescent="0.25">
      <c r="A54" s="167" t="s">
        <v>269</v>
      </c>
      <c r="B54" s="167" t="s">
        <v>226</v>
      </c>
      <c r="C54" s="372" t="str">
        <f>'Table 3'!C54</f>
        <v>Deleted</v>
      </c>
      <c r="D54" s="348">
        <f>'Table 4'!M54</f>
        <v>0</v>
      </c>
      <c r="E54" s="360">
        <v>0</v>
      </c>
      <c r="F54" s="348">
        <f>'Table 4'!M54</f>
        <v>0</v>
      </c>
      <c r="G54" s="360">
        <v>0</v>
      </c>
      <c r="H54" s="348">
        <f>'Table 4'!M54</f>
        <v>0</v>
      </c>
      <c r="I54" s="360">
        <v>0</v>
      </c>
      <c r="J54" s="348">
        <f>'Table 4'!M54</f>
        <v>0</v>
      </c>
      <c r="K54" s="162"/>
      <c r="L54" s="343" t="str">
        <f>'Table 5'!P53</f>
        <v>Project deleted as it is located in the Rockbank South PSP area</v>
      </c>
      <c r="M54" s="343"/>
    </row>
    <row r="55" spans="1:13" s="320" customFormat="1" ht="22.5" x14ac:dyDescent="0.25">
      <c r="A55" s="167" t="s">
        <v>270</v>
      </c>
      <c r="B55" s="167" t="s">
        <v>226</v>
      </c>
      <c r="C55" s="372" t="str">
        <f>'Table 3'!C55</f>
        <v>Intersection: Mount Cottrell Road and Shogaki Drive
Purchase of land and construction of signalised 4-way intersection (interim standard).</v>
      </c>
      <c r="D55" s="348">
        <f>'Table 4'!M55</f>
        <v>3011.1263227040072</v>
      </c>
      <c r="E55" s="360">
        <v>0</v>
      </c>
      <c r="F55" s="348">
        <f>'Table 4'!M55</f>
        <v>3011.1263227040072</v>
      </c>
      <c r="G55" s="360">
        <v>0</v>
      </c>
      <c r="H55" s="348">
        <f>'Table 4'!M55</f>
        <v>3011.1263227040072</v>
      </c>
      <c r="I55" s="360">
        <v>0</v>
      </c>
      <c r="J55" s="348">
        <f>'Table 4'!M55</f>
        <v>3011.1263227040072</v>
      </c>
      <c r="K55" s="162"/>
      <c r="L55" s="343" t="str">
        <f>'Table 5'!P54</f>
        <v>Partially constructed</v>
      </c>
      <c r="M55" s="343" t="s">
        <v>730</v>
      </c>
    </row>
    <row r="56" spans="1:13" s="320" customFormat="1" x14ac:dyDescent="0.25">
      <c r="A56" s="167" t="s">
        <v>725</v>
      </c>
      <c r="B56" s="167"/>
      <c r="C56" s="372" t="str">
        <f>'Table 3'!C56</f>
        <v>Skipped Project - There is no IT11 in the Toolern DCP</v>
      </c>
      <c r="D56" s="348"/>
      <c r="E56" s="360"/>
      <c r="F56" s="348"/>
      <c r="G56" s="360"/>
      <c r="H56" s="348"/>
      <c r="I56" s="360"/>
      <c r="J56" s="348"/>
      <c r="K56" s="162"/>
      <c r="L56" s="343" t="str">
        <f>'Table 5'!P55</f>
        <v>This project was skipped in the Toolern DCP</v>
      </c>
      <c r="M56" s="343"/>
    </row>
    <row r="57" spans="1:13" s="320" customFormat="1" ht="22.5" x14ac:dyDescent="0.25">
      <c r="A57" s="167" t="s">
        <v>271</v>
      </c>
      <c r="B57" s="167" t="s">
        <v>226</v>
      </c>
      <c r="C57" s="372" t="str">
        <f>'Table 3'!C57</f>
        <v>Intersection: Shogaki Drive and Industrial Connector Road 
Construction of signalised 4-way intersection (interim standard).</v>
      </c>
      <c r="D57" s="348">
        <f>'Table 4'!M57</f>
        <v>8197.8908277346727</v>
      </c>
      <c r="E57" s="360">
        <v>0</v>
      </c>
      <c r="F57" s="348">
        <f>'Table 4'!M57</f>
        <v>8197.8908277346727</v>
      </c>
      <c r="G57" s="360">
        <v>0</v>
      </c>
      <c r="H57" s="348">
        <f>'Table 4'!M57</f>
        <v>8197.8908277346727</v>
      </c>
      <c r="I57" s="360">
        <v>0</v>
      </c>
      <c r="J57" s="348">
        <f>'Table 4'!M57</f>
        <v>8197.8908277346727</v>
      </c>
      <c r="K57" s="162"/>
      <c r="L57" s="343" t="str">
        <f>'Table 5'!P56</f>
        <v>Not commenced</v>
      </c>
      <c r="M57" s="343"/>
    </row>
    <row r="58" spans="1:13" s="320" customFormat="1" ht="22.5" x14ac:dyDescent="0.25">
      <c r="A58" s="167" t="s">
        <v>272</v>
      </c>
      <c r="B58" s="167" t="s">
        <v>226</v>
      </c>
      <c r="C58" s="372" t="str">
        <f>'Table 3'!C58</f>
        <v xml:space="preserve">Intersection: Ferris Road and Shogaki Drive
Purchase of land and construction of signalised 4-way intersection (interim standard). </v>
      </c>
      <c r="D58" s="348">
        <f>'Table 4'!M58</f>
        <v>7666.6415187601215</v>
      </c>
      <c r="E58" s="360">
        <v>0</v>
      </c>
      <c r="F58" s="348">
        <f>'Table 4'!M58</f>
        <v>7666.6415187601215</v>
      </c>
      <c r="G58" s="360">
        <v>0</v>
      </c>
      <c r="H58" s="348">
        <f>'Table 4'!M58</f>
        <v>7666.6415187601215</v>
      </c>
      <c r="I58" s="360">
        <v>0</v>
      </c>
      <c r="J58" s="348">
        <f>'Table 4'!M58</f>
        <v>7666.6415187601215</v>
      </c>
      <c r="K58" s="162"/>
      <c r="L58" s="343" t="str">
        <f>'Table 5'!P57</f>
        <v>Not commenced</v>
      </c>
      <c r="M58" s="343"/>
    </row>
    <row r="59" spans="1:13" s="320" customFormat="1" ht="22.5" x14ac:dyDescent="0.25">
      <c r="A59" s="167" t="s">
        <v>273</v>
      </c>
      <c r="B59" s="167" t="s">
        <v>226</v>
      </c>
      <c r="C59" s="372" t="str">
        <f>'Table 3'!C59</f>
        <v>Intersection: Ferris Road and Hollingsworth Drive 
Construction of signalised T-intersection (interim standard).</v>
      </c>
      <c r="D59" s="348">
        <f>'Table 4'!M59</f>
        <v>880.31453527319081</v>
      </c>
      <c r="E59" s="360">
        <v>0</v>
      </c>
      <c r="F59" s="348">
        <f>'Table 4'!M59</f>
        <v>880.31453527319081</v>
      </c>
      <c r="G59" s="360">
        <v>0</v>
      </c>
      <c r="H59" s="348">
        <f>'Table 4'!M59</f>
        <v>880.31453527319081</v>
      </c>
      <c r="I59" s="360">
        <v>0</v>
      </c>
      <c r="J59" s="348">
        <f>'Table 4'!M59</f>
        <v>880.31453527319081</v>
      </c>
      <c r="K59" s="162"/>
      <c r="L59" s="343" t="str">
        <f>'Table 5'!P58</f>
        <v>Constructed</v>
      </c>
      <c r="M59" s="343"/>
    </row>
    <row r="60" spans="1:13" s="320" customFormat="1" ht="33.75" x14ac:dyDescent="0.25">
      <c r="A60" s="167" t="s">
        <v>274</v>
      </c>
      <c r="B60" s="167" t="s">
        <v>226</v>
      </c>
      <c r="C60" s="372" t="str">
        <f>'Table 3'!C60</f>
        <v>Intersection: Ferris Road and Bridge Road
Construction of signalised 4-way intersection (interim standard).</v>
      </c>
      <c r="D60" s="348">
        <f>'Table 4'!M60</f>
        <v>1764.8269672275085</v>
      </c>
      <c r="E60" s="360">
        <v>0</v>
      </c>
      <c r="F60" s="348">
        <f>'Table 4'!M60</f>
        <v>1764.8269672275085</v>
      </c>
      <c r="G60" s="360">
        <v>0</v>
      </c>
      <c r="H60" s="348">
        <f>'Table 4'!M60</f>
        <v>1764.8269672275085</v>
      </c>
      <c r="I60" s="360">
        <v>0</v>
      </c>
      <c r="J60" s="348">
        <f>'Table 4'!M60</f>
        <v>1764.8269672275085</v>
      </c>
      <c r="K60" s="162"/>
      <c r="L60" s="343" t="str">
        <f>'Table 5'!P59</f>
        <v>Commited project
Part of the Bridge Road extension project to the Hospital</v>
      </c>
      <c r="M60" s="343"/>
    </row>
    <row r="61" spans="1:13" s="320" customFormat="1" ht="22.5" x14ac:dyDescent="0.25">
      <c r="A61" s="167" t="s">
        <v>275</v>
      </c>
      <c r="B61" s="167" t="s">
        <v>226</v>
      </c>
      <c r="C61" s="372" t="str">
        <f>'Table 3'!C61</f>
        <v xml:space="preserve">Intersection: Abey Road and Industrial Connector Road
Construction of a signalised T-intersection (interim standard). </v>
      </c>
      <c r="D61" s="348">
        <f>'Table 4'!M61</f>
        <v>3496.3104118836868</v>
      </c>
      <c r="E61" s="360">
        <v>0</v>
      </c>
      <c r="F61" s="348">
        <f>'Table 4'!M61</f>
        <v>3496.3104118836868</v>
      </c>
      <c r="G61" s="360">
        <v>0</v>
      </c>
      <c r="H61" s="348">
        <f>'Table 4'!M61</f>
        <v>3496.3104118836868</v>
      </c>
      <c r="I61" s="360">
        <v>0</v>
      </c>
      <c r="J61" s="348">
        <f>'Table 4'!M61</f>
        <v>3496.3104118836868</v>
      </c>
      <c r="K61" s="162"/>
      <c r="L61" s="343" t="str">
        <f>'Table 5'!P60</f>
        <v>Not commenced</v>
      </c>
      <c r="M61" s="343"/>
    </row>
    <row r="62" spans="1:13" s="320" customFormat="1" ht="22.5" x14ac:dyDescent="0.25">
      <c r="A62" s="167" t="s">
        <v>276</v>
      </c>
      <c r="B62" s="167" t="s">
        <v>226</v>
      </c>
      <c r="C62" s="372" t="str">
        <f>'Table 3'!C62</f>
        <v>Intersection: Abey Road and Bundy Drive
Construction of signalised T-intersection (interim standard).</v>
      </c>
      <c r="D62" s="348">
        <f>'Table 4'!M62</f>
        <v>3757.4100691350641</v>
      </c>
      <c r="E62" s="360">
        <v>0</v>
      </c>
      <c r="F62" s="348">
        <f>'Table 4'!M62</f>
        <v>3757.4100691350641</v>
      </c>
      <c r="G62" s="360">
        <v>0</v>
      </c>
      <c r="H62" s="348">
        <f>'Table 4'!M62</f>
        <v>3757.4100691350641</v>
      </c>
      <c r="I62" s="360">
        <v>0</v>
      </c>
      <c r="J62" s="348">
        <f>'Table 4'!M62</f>
        <v>3757.4100691350641</v>
      </c>
      <c r="K62" s="162"/>
      <c r="L62" s="343" t="str">
        <f>'Table 5'!P61</f>
        <v>Not commenced</v>
      </c>
      <c r="M62" s="343"/>
    </row>
    <row r="63" spans="1:13" s="320" customFormat="1" ht="22.5" x14ac:dyDescent="0.25">
      <c r="A63" s="167" t="s">
        <v>277</v>
      </c>
      <c r="B63" s="167" t="s">
        <v>226</v>
      </c>
      <c r="C63" s="372" t="str">
        <f>'Table 3'!C63</f>
        <v>Intersection: Ferris Road and Shakamaker Drive
Construction of signalised 4-way intersection (ultimate standard).</v>
      </c>
      <c r="D63" s="348">
        <f>'Table 4'!M63</f>
        <v>5868.6043562244322</v>
      </c>
      <c r="E63" s="360">
        <v>0</v>
      </c>
      <c r="F63" s="348">
        <f>'Table 4'!M63</f>
        <v>5868.6043562244322</v>
      </c>
      <c r="G63" s="360">
        <v>0</v>
      </c>
      <c r="H63" s="348">
        <f>'Table 4'!M63</f>
        <v>5868.6043562244322</v>
      </c>
      <c r="I63" s="360">
        <v>0</v>
      </c>
      <c r="J63" s="348">
        <f>'Table 4'!M63</f>
        <v>5868.6043562244322</v>
      </c>
      <c r="K63" s="162"/>
      <c r="L63" s="343" t="str">
        <f>'Table 5'!P62</f>
        <v>Not commenced</v>
      </c>
      <c r="M63" s="343"/>
    </row>
    <row r="64" spans="1:13" s="320" customFormat="1" ht="22.5" x14ac:dyDescent="0.25">
      <c r="A64" s="167" t="s">
        <v>278</v>
      </c>
      <c r="B64" s="167" t="s">
        <v>226</v>
      </c>
      <c r="C64" s="372" t="str">
        <f>'Table 3'!C64</f>
        <v>Intersection: Mount Cottrell Road and Baxterpark Drive
Construction of signalised T-intersection (interim standard).</v>
      </c>
      <c r="D64" s="348">
        <f>'Table 4'!M64</f>
        <v>348.45783931788469</v>
      </c>
      <c r="E64" s="360">
        <v>0</v>
      </c>
      <c r="F64" s="348">
        <f>'Table 4'!M64</f>
        <v>348.45783931788469</v>
      </c>
      <c r="G64" s="360">
        <v>0</v>
      </c>
      <c r="H64" s="348">
        <f>'Table 4'!M64</f>
        <v>348.45783931788469</v>
      </c>
      <c r="I64" s="360">
        <v>0</v>
      </c>
      <c r="J64" s="348">
        <f>'Table 4'!M64</f>
        <v>348.45783931788469</v>
      </c>
      <c r="K64" s="162"/>
      <c r="L64" s="343" t="str">
        <f>'Table 5'!P63</f>
        <v>Constructed</v>
      </c>
      <c r="M64" s="343"/>
    </row>
    <row r="65" spans="1:13" s="320" customFormat="1" ht="22.5" x14ac:dyDescent="0.25">
      <c r="A65" s="167" t="s">
        <v>279</v>
      </c>
      <c r="B65" s="167" t="s">
        <v>226</v>
      </c>
      <c r="C65" s="372" t="str">
        <f>'Table 3'!C65</f>
        <v>Intersection: Mount Cottrell Road and Southern Connector Road
Construction of signalised 4-way intersection (interim standard).</v>
      </c>
      <c r="D65" s="348">
        <f>'Table 4'!M65</f>
        <v>7309.4909500055282</v>
      </c>
      <c r="E65" s="360">
        <v>0</v>
      </c>
      <c r="F65" s="348">
        <f>'Table 4'!M65</f>
        <v>7309.4909500055282</v>
      </c>
      <c r="G65" s="360">
        <v>0</v>
      </c>
      <c r="H65" s="348">
        <f>'Table 4'!M65</f>
        <v>7309.4909500055282</v>
      </c>
      <c r="I65" s="360">
        <v>0</v>
      </c>
      <c r="J65" s="348">
        <f>'Table 4'!M65</f>
        <v>7309.4909500055282</v>
      </c>
      <c r="K65" s="162"/>
      <c r="L65" s="343" t="str">
        <f>'Table 5'!P64</f>
        <v>Not commenced</v>
      </c>
      <c r="M65" s="343"/>
    </row>
    <row r="66" spans="1:13" s="320" customFormat="1" ht="22.5" x14ac:dyDescent="0.25">
      <c r="A66" s="167" t="s">
        <v>280</v>
      </c>
      <c r="B66" s="167" t="s">
        <v>226</v>
      </c>
      <c r="C66" s="372" t="str">
        <f>'Table 3'!C66</f>
        <v xml:space="preserve">Intersection: Exford Road and Eastern North-South Connector Road 
Construction of signalised 4-way intersection (interim standard). </v>
      </c>
      <c r="D66" s="348">
        <f>'Table 4'!M66</f>
        <v>5975.2648659898414</v>
      </c>
      <c r="E66" s="360">
        <v>0</v>
      </c>
      <c r="F66" s="348">
        <f>'Table 4'!M66</f>
        <v>5975.2648659898414</v>
      </c>
      <c r="G66" s="360">
        <v>0</v>
      </c>
      <c r="H66" s="348">
        <f>'Table 4'!M66</f>
        <v>5975.2648659898414</v>
      </c>
      <c r="I66" s="360">
        <v>0</v>
      </c>
      <c r="J66" s="348">
        <f>'Table 4'!M66</f>
        <v>5975.2648659898414</v>
      </c>
      <c r="K66" s="162"/>
      <c r="L66" s="343" t="str">
        <f>'Table 5'!P65</f>
        <v>Not commenced</v>
      </c>
      <c r="M66" s="343"/>
    </row>
    <row r="67" spans="1:13" s="320" customFormat="1" ht="22.5" x14ac:dyDescent="0.25">
      <c r="A67" s="167" t="s">
        <v>281</v>
      </c>
      <c r="B67" s="167" t="s">
        <v>226</v>
      </c>
      <c r="C67" s="372" t="str">
        <f>'Table 3'!C67</f>
        <v>Intersection: Exford Road and Central North-South Connector Road
Construction of signalised 4-way intersection (interim standard).</v>
      </c>
      <c r="D67" s="348">
        <f>'Table 4'!M67</f>
        <v>5004.9701802194377</v>
      </c>
      <c r="E67" s="360">
        <v>0</v>
      </c>
      <c r="F67" s="348">
        <f>'Table 4'!M67</f>
        <v>5004.9701802194377</v>
      </c>
      <c r="G67" s="360">
        <v>0</v>
      </c>
      <c r="H67" s="348">
        <f>'Table 4'!M67</f>
        <v>5004.9701802194377</v>
      </c>
      <c r="I67" s="360">
        <v>0</v>
      </c>
      <c r="J67" s="348">
        <f>'Table 4'!M67</f>
        <v>5004.9701802194377</v>
      </c>
      <c r="K67" s="162"/>
      <c r="L67" s="343" t="str">
        <f>'Table 5'!P66</f>
        <v>Not commenced</v>
      </c>
      <c r="M67" s="343"/>
    </row>
    <row r="68" spans="1:13" s="320" customFormat="1" ht="22.5" x14ac:dyDescent="0.25">
      <c r="A68" s="167" t="s">
        <v>282</v>
      </c>
      <c r="B68" s="167" t="s">
        <v>226</v>
      </c>
      <c r="C68" s="372" t="str">
        <f>'Table 3'!C68</f>
        <v>Intersection: Exford Road and Western North-South Connector Road
Construction of signalised T-intersection (interim standard).</v>
      </c>
      <c r="D68" s="348">
        <f>'Table 4'!M68</f>
        <v>3660.0766143980436</v>
      </c>
      <c r="E68" s="360">
        <v>0</v>
      </c>
      <c r="F68" s="348">
        <f>'Table 4'!M68</f>
        <v>3660.0766143980436</v>
      </c>
      <c r="G68" s="360">
        <v>0</v>
      </c>
      <c r="H68" s="348">
        <f>'Table 4'!M68</f>
        <v>3660.0766143980436</v>
      </c>
      <c r="I68" s="360">
        <v>0</v>
      </c>
      <c r="J68" s="348">
        <f>'Table 4'!M68</f>
        <v>3660.0766143980436</v>
      </c>
      <c r="K68" s="162"/>
      <c r="L68" s="343" t="str">
        <f>'Table 5'!P67</f>
        <v>Not commenced</v>
      </c>
      <c r="M68" s="343"/>
    </row>
    <row r="69" spans="1:13" s="320" customFormat="1" ht="22.5" x14ac:dyDescent="0.25">
      <c r="A69" s="167" t="s">
        <v>283</v>
      </c>
      <c r="B69" s="167" t="s">
        <v>226</v>
      </c>
      <c r="C69" s="372" t="str">
        <f>'Table 3'!C69</f>
        <v>Intersection: Exford Road and Elpis Road
Construction of signalised T-intersection (interim standard).</v>
      </c>
      <c r="D69" s="348">
        <f>'Table 4'!M69</f>
        <v>696.91567863576938</v>
      </c>
      <c r="E69" s="360">
        <v>0</v>
      </c>
      <c r="F69" s="348">
        <f>'Table 4'!M69</f>
        <v>696.91567863576938</v>
      </c>
      <c r="G69" s="360">
        <v>0</v>
      </c>
      <c r="H69" s="348">
        <f>'Table 4'!M69</f>
        <v>696.91567863576938</v>
      </c>
      <c r="I69" s="360">
        <v>0</v>
      </c>
      <c r="J69" s="348">
        <f>'Table 4'!M69</f>
        <v>696.91567863576938</v>
      </c>
      <c r="K69" s="162"/>
      <c r="L69" s="343" t="str">
        <f>'Table 5'!P68</f>
        <v>Constructed</v>
      </c>
      <c r="M69" s="343"/>
    </row>
    <row r="70" spans="1:13" s="320" customFormat="1" ht="22.5" x14ac:dyDescent="0.25">
      <c r="A70" s="167" t="s">
        <v>284</v>
      </c>
      <c r="B70" s="167" t="s">
        <v>226</v>
      </c>
      <c r="C70" s="372" t="str">
        <f>'Table 3'!C70</f>
        <v>Intersection: Mount Cottrell Road and Bridge Road
Construction of signalised T-intersection (interim standard).</v>
      </c>
      <c r="D70" s="348">
        <f>'Table 4'!M70</f>
        <v>989.00017560176127</v>
      </c>
      <c r="E70" s="360">
        <v>0</v>
      </c>
      <c r="F70" s="348">
        <f>'Table 4'!M70</f>
        <v>989.00017560176127</v>
      </c>
      <c r="G70" s="360">
        <v>0</v>
      </c>
      <c r="H70" s="348">
        <f>'Table 4'!M70</f>
        <v>989.00017560176127</v>
      </c>
      <c r="I70" s="360">
        <v>0</v>
      </c>
      <c r="J70" s="348">
        <f>'Table 4'!M70</f>
        <v>989.00017560176127</v>
      </c>
      <c r="K70" s="162"/>
      <c r="L70" s="343" t="str">
        <f>'Table 5'!P69</f>
        <v>Not commenced</v>
      </c>
      <c r="M70" s="343"/>
    </row>
    <row r="71" spans="1:13" s="320" customFormat="1" ht="22.5" x14ac:dyDescent="0.25">
      <c r="A71" s="167" t="s">
        <v>285</v>
      </c>
      <c r="B71" s="167" t="s">
        <v>226</v>
      </c>
      <c r="C71" s="372" t="str">
        <f>'Table 3'!C71</f>
        <v>Intersection: Mount Cottrell Road and Alfred Road
Construction of signalised 4-way intersection (interim standard).</v>
      </c>
      <c r="D71" s="348">
        <f>'Table 4'!M71</f>
        <v>1660.7668073648679</v>
      </c>
      <c r="E71" s="360">
        <v>0</v>
      </c>
      <c r="F71" s="348">
        <f>'Table 4'!M71</f>
        <v>1660.7668073648679</v>
      </c>
      <c r="G71" s="360">
        <v>0</v>
      </c>
      <c r="H71" s="348">
        <f>'Table 4'!M71</f>
        <v>1660.7668073648679</v>
      </c>
      <c r="I71" s="360">
        <v>0</v>
      </c>
      <c r="J71" s="348">
        <f>'Table 4'!M71</f>
        <v>1660.7668073648679</v>
      </c>
      <c r="K71" s="162"/>
      <c r="L71" s="343" t="str">
        <f>'Table 5'!P70</f>
        <v>Constructed</v>
      </c>
      <c r="M71" s="343"/>
    </row>
    <row r="72" spans="1:13" s="320" customFormat="1" ht="22.5" x14ac:dyDescent="0.25">
      <c r="A72" s="167" t="s">
        <v>286</v>
      </c>
      <c r="B72" s="167" t="s">
        <v>226</v>
      </c>
      <c r="C72" s="372" t="str">
        <f>'Table 3'!C72</f>
        <v>Intersection: Ferris Road and Alfred Road
Construction of signalised 4-way intersection (interim standard).</v>
      </c>
      <c r="D72" s="348">
        <f>'Table 4'!M72</f>
        <v>1270.5406713190293</v>
      </c>
      <c r="E72" s="360">
        <v>0</v>
      </c>
      <c r="F72" s="348">
        <f>'Table 4'!M72</f>
        <v>1270.5406713190293</v>
      </c>
      <c r="G72" s="360">
        <v>0</v>
      </c>
      <c r="H72" s="348">
        <f>'Table 4'!M72</f>
        <v>1270.5406713190293</v>
      </c>
      <c r="I72" s="360">
        <v>0</v>
      </c>
      <c r="J72" s="348">
        <f>'Table 4'!M72</f>
        <v>1270.5406713190293</v>
      </c>
      <c r="K72" s="162"/>
      <c r="L72" s="343" t="str">
        <f>'Table 5'!P71</f>
        <v>Under construction</v>
      </c>
      <c r="M72" s="343"/>
    </row>
    <row r="73" spans="1:13" s="320" customFormat="1" ht="22.5" x14ac:dyDescent="0.25">
      <c r="A73" s="167" t="s">
        <v>287</v>
      </c>
      <c r="B73" s="167" t="s">
        <v>226</v>
      </c>
      <c r="C73" s="372" t="str">
        <f>'Table 3'!C73</f>
        <v>Intersection: Ferris Road and Southern Connector Road
Construction of signalised 4-way intersection (interim standard).</v>
      </c>
      <c r="D73" s="348">
        <f>'Table 4'!M73</f>
        <v>1611.9883972762216</v>
      </c>
      <c r="E73" s="360">
        <v>0</v>
      </c>
      <c r="F73" s="348">
        <f>'Table 4'!M73</f>
        <v>1611.9883972762216</v>
      </c>
      <c r="G73" s="360">
        <v>0</v>
      </c>
      <c r="H73" s="348">
        <f>'Table 4'!M73</f>
        <v>1611.9883972762216</v>
      </c>
      <c r="I73" s="360">
        <v>0</v>
      </c>
      <c r="J73" s="348">
        <f>'Table 4'!M73</f>
        <v>1611.9883972762216</v>
      </c>
      <c r="K73" s="162"/>
      <c r="L73" s="343" t="str">
        <f>'Table 5'!P72</f>
        <v>Under construction</v>
      </c>
      <c r="M73" s="343"/>
    </row>
    <row r="74" spans="1:13" s="320" customFormat="1" ht="22.5" x14ac:dyDescent="0.25">
      <c r="A74" s="167" t="s">
        <v>503</v>
      </c>
      <c r="B74" s="167" t="s">
        <v>226</v>
      </c>
      <c r="C74" s="372" t="str">
        <f>'Table 3'!C74</f>
        <v>Intersection: Ferris Road and Enterprise Street
Construction of a signalised 4-way intersection (interim standard).</v>
      </c>
      <c r="D74" s="348">
        <f>'Table 4'!M74</f>
        <v>3104.6020668977676</v>
      </c>
      <c r="E74" s="360">
        <v>0</v>
      </c>
      <c r="F74" s="348">
        <f>'Table 4'!M74</f>
        <v>3104.6020668977676</v>
      </c>
      <c r="G74" s="360">
        <v>0</v>
      </c>
      <c r="H74" s="348">
        <f>'Table 4'!M74</f>
        <v>3104.6020668977676</v>
      </c>
      <c r="I74" s="360">
        <v>0</v>
      </c>
      <c r="J74" s="348">
        <f>'Table 4'!M74</f>
        <v>3104.6020668977676</v>
      </c>
      <c r="K74" s="162"/>
      <c r="L74" s="343" t="str">
        <f>'Table 5'!P73</f>
        <v>New project from CMAC UDF</v>
      </c>
      <c r="M74" s="341"/>
    </row>
    <row r="75" spans="1:13" s="320" customFormat="1" ht="22.5" x14ac:dyDescent="0.25">
      <c r="A75" s="167" t="s">
        <v>504</v>
      </c>
      <c r="B75" s="167" t="s">
        <v>226</v>
      </c>
      <c r="C75" s="372" t="str">
        <f>'Table 3'!C75</f>
        <v>Intersection: Paynes Road and Alfred Road
Construction of a signalised 4-way intersection (interim standard).</v>
      </c>
      <c r="D75" s="348">
        <f>'Table 4'!M75</f>
        <v>1259.215743023082</v>
      </c>
      <c r="E75" s="360">
        <v>0</v>
      </c>
      <c r="F75" s="348">
        <f>'Table 4'!M75</f>
        <v>1259.215743023082</v>
      </c>
      <c r="G75" s="360">
        <v>0</v>
      </c>
      <c r="H75" s="348">
        <f>'Table 4'!M75</f>
        <v>1259.215743023082</v>
      </c>
      <c r="I75" s="360">
        <v>0</v>
      </c>
      <c r="J75" s="348">
        <f>'Table 4'!M75</f>
        <v>1259.215743023082</v>
      </c>
      <c r="K75" s="162"/>
      <c r="L75" s="343" t="str">
        <f>'Table 5'!P74</f>
        <v>New project from Rockbank DCP - IT12</v>
      </c>
      <c r="M75" s="341" t="s">
        <v>732</v>
      </c>
    </row>
    <row r="76" spans="1:13" s="320" customFormat="1" ht="22.5" x14ac:dyDescent="0.25">
      <c r="A76" s="167" t="s">
        <v>505</v>
      </c>
      <c r="B76" s="167" t="s">
        <v>226</v>
      </c>
      <c r="C76" s="372" t="str">
        <f>'Table 3'!C76</f>
        <v>Intersection: Paynes Road and East-West Connector Road 1
Construction of a signalised 4-way intersection (interim standard).</v>
      </c>
      <c r="D76" s="348">
        <f>'Table 4'!M76</f>
        <v>1089.4554849535307</v>
      </c>
      <c r="E76" s="360">
        <v>0</v>
      </c>
      <c r="F76" s="348">
        <f>'Table 4'!M76</f>
        <v>1089.4554849535307</v>
      </c>
      <c r="G76" s="360">
        <v>0</v>
      </c>
      <c r="H76" s="348">
        <f>'Table 4'!M76</f>
        <v>1089.4554849535307</v>
      </c>
      <c r="I76" s="360">
        <v>0</v>
      </c>
      <c r="J76" s="348">
        <f>'Table 4'!M76</f>
        <v>1089.4554849535307</v>
      </c>
      <c r="K76" s="162"/>
      <c r="L76" s="343" t="str">
        <f>'Table 5'!P75</f>
        <v>New project from Rockbank DCP - IT13</v>
      </c>
      <c r="M76" s="341" t="s">
        <v>732</v>
      </c>
    </row>
    <row r="77" spans="1:13" s="320" customFormat="1" ht="22.5" x14ac:dyDescent="0.25">
      <c r="A77" s="167" t="s">
        <v>506</v>
      </c>
      <c r="B77" s="167" t="s">
        <v>226</v>
      </c>
      <c r="C77" s="372" t="str">
        <f>'Table 3'!C77</f>
        <v>Intersection: Paynes Road and East-West Connector Road 2
Construction of a signalised 3-way intersection (interim standard).</v>
      </c>
      <c r="D77" s="348">
        <f>'Table 4'!M77</f>
        <v>568.3388382317554</v>
      </c>
      <c r="E77" s="360">
        <v>0</v>
      </c>
      <c r="F77" s="348">
        <f>'Table 4'!M77</f>
        <v>568.3388382317554</v>
      </c>
      <c r="G77" s="360">
        <v>0</v>
      </c>
      <c r="H77" s="348">
        <f>'Table 4'!M77</f>
        <v>568.3388382317554</v>
      </c>
      <c r="I77" s="360">
        <v>0</v>
      </c>
      <c r="J77" s="348">
        <f>'Table 4'!M77</f>
        <v>568.3388382317554</v>
      </c>
      <c r="K77" s="162"/>
      <c r="L77" s="343" t="str">
        <f>'Table 5'!P76</f>
        <v>New project from Rockbank DCP - IT14</v>
      </c>
      <c r="M77" s="341" t="s">
        <v>732</v>
      </c>
    </row>
    <row r="78" spans="1:13" s="11" customFormat="1" x14ac:dyDescent="0.25">
      <c r="A78" s="439" t="s">
        <v>14</v>
      </c>
      <c r="B78" s="439"/>
      <c r="C78" s="369"/>
      <c r="D78" s="440">
        <f>SUM(D46:D77)</f>
        <v>106566.40864643559</v>
      </c>
      <c r="E78" s="440">
        <f t="shared" ref="E78:J78" si="1">SUM(E46:E77)</f>
        <v>0</v>
      </c>
      <c r="F78" s="440">
        <f t="shared" si="1"/>
        <v>106566.40864643559</v>
      </c>
      <c r="G78" s="440">
        <f t="shared" si="1"/>
        <v>0</v>
      </c>
      <c r="H78" s="440">
        <f t="shared" si="1"/>
        <v>106566.40864643559</v>
      </c>
      <c r="I78" s="440">
        <f t="shared" si="1"/>
        <v>0</v>
      </c>
      <c r="J78" s="440">
        <f t="shared" si="1"/>
        <v>106566.40864643559</v>
      </c>
      <c r="K78" s="89"/>
      <c r="L78" s="347"/>
      <c r="M78" s="347"/>
    </row>
    <row r="79" spans="1:13" s="10" customFormat="1" x14ac:dyDescent="0.25">
      <c r="A79" s="435" t="s">
        <v>288</v>
      </c>
      <c r="B79" s="435"/>
      <c r="C79" s="435"/>
      <c r="D79" s="436"/>
      <c r="E79" s="437"/>
      <c r="F79" s="436"/>
      <c r="G79" s="437"/>
      <c r="H79" s="436"/>
      <c r="I79" s="437"/>
      <c r="J79" s="436"/>
      <c r="K79" s="471"/>
      <c r="L79" s="438"/>
      <c r="M79" s="438"/>
    </row>
    <row r="80" spans="1:13" s="320" customFormat="1" ht="22.5" x14ac:dyDescent="0.25">
      <c r="A80" s="167" t="s">
        <v>289</v>
      </c>
      <c r="B80" s="167" t="s">
        <v>226</v>
      </c>
      <c r="C80" s="372" t="str">
        <f>'Table 3'!C80</f>
        <v>Abey Road Bridge
Construction of an arterial road bridge over the Toolern Creek.</v>
      </c>
      <c r="D80" s="348">
        <f>'Table 4'!M80</f>
        <v>3209.4800887114084</v>
      </c>
      <c r="E80" s="360">
        <v>0</v>
      </c>
      <c r="F80" s="348">
        <f>'Table 4'!M80</f>
        <v>3209.4800887114084</v>
      </c>
      <c r="G80" s="360">
        <v>0</v>
      </c>
      <c r="H80" s="348">
        <f>'Table 4'!M80</f>
        <v>3209.4800887114084</v>
      </c>
      <c r="I80" s="360">
        <v>0</v>
      </c>
      <c r="J80" s="348">
        <f>'Table 4'!M80</f>
        <v>3209.4800887114084</v>
      </c>
      <c r="K80" s="162"/>
      <c r="L80" s="343" t="str">
        <f>'Table 5'!P79</f>
        <v>Constructed</v>
      </c>
      <c r="M80" s="343"/>
    </row>
    <row r="81" spans="1:13" s="320" customFormat="1" ht="22.5" x14ac:dyDescent="0.25">
      <c r="A81" s="167" t="s">
        <v>290</v>
      </c>
      <c r="B81" s="167" t="s">
        <v>226</v>
      </c>
      <c r="C81" s="372" t="str">
        <f>'Table 3'!C81</f>
        <v>Bridge Road Bridge
Construction of a connector road bridge over the Toolern Creek.</v>
      </c>
      <c r="D81" s="348">
        <f>'Table 4'!M81</f>
        <v>4578.8582568598504</v>
      </c>
      <c r="E81" s="360">
        <v>0</v>
      </c>
      <c r="F81" s="348">
        <f>'Table 4'!M81</f>
        <v>4578.8582568598504</v>
      </c>
      <c r="G81" s="360">
        <v>0</v>
      </c>
      <c r="H81" s="348">
        <f>'Table 4'!M81</f>
        <v>4578.8582568598504</v>
      </c>
      <c r="I81" s="360">
        <v>0</v>
      </c>
      <c r="J81" s="348">
        <f>'Table 4'!M81</f>
        <v>4578.8582568598504</v>
      </c>
      <c r="K81" s="162"/>
      <c r="L81" s="343" t="str">
        <f>'Table 5'!P80</f>
        <v>Constructed</v>
      </c>
      <c r="M81" s="343"/>
    </row>
    <row r="82" spans="1:13" s="320" customFormat="1" ht="22.5" x14ac:dyDescent="0.25">
      <c r="A82" s="167" t="s">
        <v>291</v>
      </c>
      <c r="B82" s="167" t="s">
        <v>226</v>
      </c>
      <c r="C82" s="372" t="str">
        <f>'Table 3'!C82</f>
        <v>Exford Road Bridge
Construction of an arterial road bridge over the Toolern Creek.</v>
      </c>
      <c r="D82" s="348">
        <f>'Table 4'!M82</f>
        <v>9881.2457319016376</v>
      </c>
      <c r="E82" s="360">
        <v>0</v>
      </c>
      <c r="F82" s="348">
        <f>'Table 4'!M82</f>
        <v>9881.2457319016376</v>
      </c>
      <c r="G82" s="360">
        <v>0</v>
      </c>
      <c r="H82" s="348">
        <f>'Table 4'!M82</f>
        <v>9881.2457319016376</v>
      </c>
      <c r="I82" s="360">
        <v>0</v>
      </c>
      <c r="J82" s="348">
        <f>'Table 4'!M82</f>
        <v>9881.2457319016376</v>
      </c>
      <c r="K82" s="162"/>
      <c r="L82" s="343" t="str">
        <f>'Table 5'!P81</f>
        <v>Not commenced</v>
      </c>
      <c r="M82" s="343"/>
    </row>
    <row r="83" spans="1:13" s="320" customFormat="1" ht="22.5" x14ac:dyDescent="0.25">
      <c r="A83" s="167" t="s">
        <v>292</v>
      </c>
      <c r="B83" s="167" t="s">
        <v>226</v>
      </c>
      <c r="C83" s="372" t="str">
        <f>'Table 3'!C83</f>
        <v>Shared Use Pedestrian Bridge 1: Toolern Creek
Construction of a shared use pedestrian bridge over the Toolern Creek.</v>
      </c>
      <c r="D83" s="348">
        <f>'Table 4'!M83</f>
        <v>903.6772309553387</v>
      </c>
      <c r="E83" s="360">
        <v>0</v>
      </c>
      <c r="F83" s="348">
        <f>'Table 4'!M83</f>
        <v>903.6772309553387</v>
      </c>
      <c r="G83" s="360">
        <v>0</v>
      </c>
      <c r="H83" s="348">
        <f>'Table 4'!M83</f>
        <v>903.6772309553387</v>
      </c>
      <c r="I83" s="360">
        <v>0</v>
      </c>
      <c r="J83" s="348">
        <f>'Table 4'!M83</f>
        <v>903.6772309553387</v>
      </c>
      <c r="K83" s="162"/>
      <c r="L83" s="343" t="str">
        <f>'Table 5'!P82</f>
        <v>Not commenced</v>
      </c>
      <c r="M83" s="343"/>
    </row>
    <row r="84" spans="1:13" s="320" customFormat="1" ht="22.5" x14ac:dyDescent="0.25">
      <c r="A84" s="167" t="s">
        <v>293</v>
      </c>
      <c r="B84" s="167" t="s">
        <v>226</v>
      </c>
      <c r="C84" s="372" t="str">
        <f>'Table 3'!C84</f>
        <v>Shared Use Pedestrian Bridge 2: Toolern Creek
Construction of a shared use pedestrian bridge over the Toolern Creek.</v>
      </c>
      <c r="D84" s="348">
        <f>'Table 4'!M84</f>
        <v>903.6772309553387</v>
      </c>
      <c r="E84" s="360">
        <v>0</v>
      </c>
      <c r="F84" s="348">
        <f>'Table 4'!M84</f>
        <v>903.6772309553387</v>
      </c>
      <c r="G84" s="360">
        <v>0</v>
      </c>
      <c r="H84" s="348">
        <f>'Table 4'!M84</f>
        <v>903.6772309553387</v>
      </c>
      <c r="I84" s="360">
        <v>0</v>
      </c>
      <c r="J84" s="348">
        <f>'Table 4'!M84</f>
        <v>903.6772309553387</v>
      </c>
      <c r="K84" s="162"/>
      <c r="L84" s="343" t="str">
        <f>'Table 5'!P83</f>
        <v>Not commenced</v>
      </c>
      <c r="M84" s="343"/>
    </row>
    <row r="85" spans="1:13" s="320" customFormat="1" ht="22.5" x14ac:dyDescent="0.25">
      <c r="A85" s="167" t="s">
        <v>294</v>
      </c>
      <c r="B85" s="167" t="s">
        <v>226</v>
      </c>
      <c r="C85" s="372" t="str">
        <f>'Table 3'!C85</f>
        <v>Shared Use Pedestrian Bridge 3: Toolern Creek
Construction of a shared use pedestrian bridge over the Toolern Creek.</v>
      </c>
      <c r="D85" s="348">
        <f>'Table 4'!M85</f>
        <v>1147.8040024194022</v>
      </c>
      <c r="E85" s="360">
        <v>0</v>
      </c>
      <c r="F85" s="348">
        <f>'Table 4'!M85</f>
        <v>1147.8040024194022</v>
      </c>
      <c r="G85" s="360">
        <v>0</v>
      </c>
      <c r="H85" s="348">
        <f>'Table 4'!M85</f>
        <v>1147.8040024194022</v>
      </c>
      <c r="I85" s="360">
        <v>0</v>
      </c>
      <c r="J85" s="348">
        <f>'Table 4'!M85</f>
        <v>1147.8040024194022</v>
      </c>
      <c r="K85" s="162"/>
      <c r="L85" s="343" t="str">
        <f>'Table 5'!P84</f>
        <v>Not commenced</v>
      </c>
      <c r="M85" s="343"/>
    </row>
    <row r="86" spans="1:13" s="320" customFormat="1" ht="22.5" x14ac:dyDescent="0.25">
      <c r="A86" s="167" t="s">
        <v>295</v>
      </c>
      <c r="B86" s="167" t="s">
        <v>226</v>
      </c>
      <c r="C86" s="372" t="str">
        <f>'Table 3'!C86</f>
        <v>Pedestrian Underpass 1: Melbourne Ballarat Railway
Construction of a pedestrian underpass.</v>
      </c>
      <c r="D86" s="348">
        <f>'Table 4'!M86</f>
        <v>2447.0105426094424</v>
      </c>
      <c r="E86" s="360">
        <v>0</v>
      </c>
      <c r="F86" s="348">
        <f>'Table 4'!M86</f>
        <v>2447.0105426094424</v>
      </c>
      <c r="G86" s="360">
        <v>0</v>
      </c>
      <c r="H86" s="348">
        <f>'Table 4'!M86</f>
        <v>2447.0105426094424</v>
      </c>
      <c r="I86" s="360">
        <v>0</v>
      </c>
      <c r="J86" s="348">
        <f>'Table 4'!M86</f>
        <v>2447.0105426094424</v>
      </c>
      <c r="K86" s="162"/>
      <c r="L86" s="343" t="str">
        <f>'Table 5'!P85</f>
        <v>Not commenced</v>
      </c>
      <c r="M86" s="343"/>
    </row>
    <row r="87" spans="1:13" s="320" customFormat="1" ht="22.5" x14ac:dyDescent="0.25">
      <c r="A87" s="167" t="s">
        <v>296</v>
      </c>
      <c r="B87" s="167" t="s">
        <v>226</v>
      </c>
      <c r="C87" s="372" t="str">
        <f>'Table 3'!C87</f>
        <v>Pedestrian Underpass 2: Melbourne Ballarat Railway
Construction of a pedestrian underpass.</v>
      </c>
      <c r="D87" s="348">
        <f>'Table 4'!M87</f>
        <v>2447.0105426094424</v>
      </c>
      <c r="E87" s="360">
        <v>0</v>
      </c>
      <c r="F87" s="348">
        <f>'Table 4'!M87</f>
        <v>2447.0105426094424</v>
      </c>
      <c r="G87" s="360">
        <v>0</v>
      </c>
      <c r="H87" s="348">
        <f>'Table 4'!M87</f>
        <v>2447.0105426094424</v>
      </c>
      <c r="I87" s="360">
        <v>0</v>
      </c>
      <c r="J87" s="348">
        <f>'Table 4'!M87</f>
        <v>2447.0105426094424</v>
      </c>
      <c r="K87" s="162"/>
      <c r="L87" s="343" t="str">
        <f>'Table 5'!P86</f>
        <v>Not commenced</v>
      </c>
      <c r="M87" s="343"/>
    </row>
    <row r="88" spans="1:13" s="320" customFormat="1" ht="22.5" x14ac:dyDescent="0.25">
      <c r="A88" s="167" t="s">
        <v>297</v>
      </c>
      <c r="B88" s="167" t="s">
        <v>226</v>
      </c>
      <c r="C88" s="372" t="str">
        <f>'Table 3'!C88</f>
        <v>Deleted</v>
      </c>
      <c r="D88" s="348">
        <f>'Table 4'!M88</f>
        <v>0</v>
      </c>
      <c r="E88" s="360">
        <v>0</v>
      </c>
      <c r="F88" s="348">
        <f>'Table 4'!M88</f>
        <v>0</v>
      </c>
      <c r="G88" s="360">
        <v>0</v>
      </c>
      <c r="H88" s="348">
        <f>'Table 4'!M88</f>
        <v>0</v>
      </c>
      <c r="I88" s="360">
        <v>0</v>
      </c>
      <c r="J88" s="348">
        <f>'Table 4'!M88</f>
        <v>0</v>
      </c>
      <c r="K88" s="162"/>
      <c r="L88" s="343" t="str">
        <f>'Table 5'!P87</f>
        <v>Project deleted as it has been replaced by BD16</v>
      </c>
      <c r="M88" s="343"/>
    </row>
    <row r="89" spans="1:13" s="320" customFormat="1" ht="22.5" x14ac:dyDescent="0.25">
      <c r="A89" s="167" t="s">
        <v>298</v>
      </c>
      <c r="B89" s="167" t="s">
        <v>226</v>
      </c>
      <c r="C89" s="372" t="str">
        <f>'Table 3'!C89</f>
        <v>Pedestrian Underpass 3: Melbourne Ballarat Railway
Construction of a pedestrian underpass.</v>
      </c>
      <c r="D89" s="348">
        <f>'Table 4'!M89</f>
        <v>2447.0105426094424</v>
      </c>
      <c r="E89" s="360">
        <v>0</v>
      </c>
      <c r="F89" s="348">
        <f>'Table 4'!M89</f>
        <v>2447.0105426094424</v>
      </c>
      <c r="G89" s="360">
        <v>0</v>
      </c>
      <c r="H89" s="348">
        <f>'Table 4'!M89</f>
        <v>2447.0105426094424</v>
      </c>
      <c r="I89" s="360">
        <v>0</v>
      </c>
      <c r="J89" s="348">
        <f>'Table 4'!M89</f>
        <v>2447.0105426094424</v>
      </c>
      <c r="K89" s="162"/>
      <c r="L89" s="343" t="str">
        <f>'Table 5'!P88</f>
        <v>Not commenced</v>
      </c>
      <c r="M89" s="343"/>
    </row>
    <row r="90" spans="1:13" s="320" customFormat="1" ht="33.75" x14ac:dyDescent="0.25">
      <c r="A90" s="167" t="s">
        <v>299</v>
      </c>
      <c r="B90" s="167" t="s">
        <v>226</v>
      </c>
      <c r="C90" s="372" t="str">
        <f>'Table 3'!C90</f>
        <v>Deleted</v>
      </c>
      <c r="D90" s="348">
        <f>'Table 4'!M90</f>
        <v>0</v>
      </c>
      <c r="E90" s="360">
        <v>0</v>
      </c>
      <c r="F90" s="348">
        <f>'Table 4'!M90</f>
        <v>0</v>
      </c>
      <c r="G90" s="360">
        <v>0</v>
      </c>
      <c r="H90" s="348">
        <f>'Table 4'!M90</f>
        <v>0</v>
      </c>
      <c r="I90" s="360">
        <v>0</v>
      </c>
      <c r="J90" s="348">
        <f>'Table 4'!M90</f>
        <v>0</v>
      </c>
      <c r="K90" s="162"/>
      <c r="L90" s="343" t="str">
        <f>'Table 5'!P89</f>
        <v>Project deleted as this underpass will be included in the Paynes Road Station construction project</v>
      </c>
      <c r="M90" s="343"/>
    </row>
    <row r="91" spans="1:13" s="320" customFormat="1" ht="33.75" x14ac:dyDescent="0.25">
      <c r="A91" s="167" t="s">
        <v>300</v>
      </c>
      <c r="B91" s="167" t="s">
        <v>226</v>
      </c>
      <c r="C91" s="372" t="str">
        <f>'Table 3'!C91</f>
        <v>Deleted</v>
      </c>
      <c r="D91" s="348">
        <f>'Table 4'!M91</f>
        <v>0</v>
      </c>
      <c r="E91" s="360">
        <v>0</v>
      </c>
      <c r="F91" s="348">
        <f>'Table 4'!M91</f>
        <v>0</v>
      </c>
      <c r="G91" s="360">
        <v>0</v>
      </c>
      <c r="H91" s="348">
        <f>'Table 4'!M91</f>
        <v>0</v>
      </c>
      <c r="I91" s="360">
        <v>0</v>
      </c>
      <c r="J91" s="348">
        <f>'Table 4'!M91</f>
        <v>0</v>
      </c>
      <c r="K91" s="162"/>
      <c r="L91" s="343" t="str">
        <f>'Table 5'!P90</f>
        <v>Project deleted as this underpass will be included in the Paynes Road Station construction project</v>
      </c>
      <c r="M91" s="343"/>
    </row>
    <row r="92" spans="1:13" s="320" customFormat="1" ht="33.75" x14ac:dyDescent="0.25">
      <c r="A92" s="167" t="s">
        <v>301</v>
      </c>
      <c r="B92" s="167" t="s">
        <v>226</v>
      </c>
      <c r="C92" s="372" t="str">
        <f>'Table 3'!C92</f>
        <v>Deleted</v>
      </c>
      <c r="D92" s="348">
        <f>'Table 4'!M92</f>
        <v>0</v>
      </c>
      <c r="E92" s="360">
        <v>0</v>
      </c>
      <c r="F92" s="348">
        <f>'Table 4'!M92</f>
        <v>0</v>
      </c>
      <c r="G92" s="360">
        <v>0</v>
      </c>
      <c r="H92" s="348">
        <f>'Table 4'!M92</f>
        <v>0</v>
      </c>
      <c r="I92" s="360">
        <v>0</v>
      </c>
      <c r="J92" s="348">
        <f>'Table 4'!M92</f>
        <v>0</v>
      </c>
      <c r="K92" s="162"/>
      <c r="L92" s="343" t="str">
        <f>'Table 5'!P91</f>
        <v>Project deleted as this underpass will be included in the Paynes Road Station construction project</v>
      </c>
      <c r="M92" s="343"/>
    </row>
    <row r="93" spans="1:13" s="320" customFormat="1" ht="22.5" x14ac:dyDescent="0.25">
      <c r="A93" s="167" t="s">
        <v>302</v>
      </c>
      <c r="B93" s="167" t="s">
        <v>226</v>
      </c>
      <c r="C93" s="372" t="str">
        <f>'Table 3'!C93</f>
        <v>Shared Use Pedestrian Bridge 4: Toolern Creek
Construction of a shared use pedestrian bridge over the Toolern Creek.</v>
      </c>
      <c r="D93" s="348">
        <f>'Table 4'!M93</f>
        <v>1147.8040024194022</v>
      </c>
      <c r="E93" s="360">
        <v>0</v>
      </c>
      <c r="F93" s="348">
        <f>'Table 4'!M93</f>
        <v>1147.8040024194022</v>
      </c>
      <c r="G93" s="360">
        <v>0</v>
      </c>
      <c r="H93" s="348">
        <f>'Table 4'!M93</f>
        <v>1147.8040024194022</v>
      </c>
      <c r="I93" s="360">
        <v>0</v>
      </c>
      <c r="J93" s="348">
        <f>'Table 4'!M93</f>
        <v>1147.8040024194022</v>
      </c>
      <c r="K93" s="162"/>
      <c r="L93" s="343" t="str">
        <f>'Table 5'!P92</f>
        <v>Not commenced</v>
      </c>
      <c r="M93" s="343"/>
    </row>
    <row r="94" spans="1:13" s="320" customFormat="1" ht="33.75" x14ac:dyDescent="0.25">
      <c r="A94" s="167" t="s">
        <v>507</v>
      </c>
      <c r="B94" s="167" t="s">
        <v>226</v>
      </c>
      <c r="C94" s="372" t="str">
        <f>'Table 3'!C94</f>
        <v>Ferris Road Rail Overpass
Rail-road grade separation at the intersection of Ferris Road and the Melbourne-Ballarat rail corridor.</v>
      </c>
      <c r="D94" s="348">
        <f>'Table 4'!M94</f>
        <v>0</v>
      </c>
      <c r="E94" s="360">
        <v>0</v>
      </c>
      <c r="F94" s="348">
        <f>'Table 4'!M94</f>
        <v>0</v>
      </c>
      <c r="G94" s="360">
        <v>0</v>
      </c>
      <c r="H94" s="348">
        <f>'Table 4'!M94</f>
        <v>0</v>
      </c>
      <c r="I94" s="360">
        <v>0</v>
      </c>
      <c r="J94" s="348">
        <f>'Table 4'!M94</f>
        <v>0</v>
      </c>
      <c r="K94" s="162"/>
      <c r="L94" s="343" t="str">
        <f>'Table 5'!P93</f>
        <v>New project from CMAC UDF</v>
      </c>
      <c r="M94" s="341" t="s">
        <v>733</v>
      </c>
    </row>
    <row r="95" spans="1:13" s="320" customFormat="1" ht="33.75" x14ac:dyDescent="0.25">
      <c r="A95" s="167" t="s">
        <v>508</v>
      </c>
      <c r="B95" s="167" t="s">
        <v>226</v>
      </c>
      <c r="C95" s="372" t="str">
        <f>'Table 3'!C95</f>
        <v>East Road Rail Overpass
Construction of a rail-road grade separation at the intersection of East Road and the Melbourne-Ballarat rail corridor (interim standard).</v>
      </c>
      <c r="D95" s="348">
        <f>'Table 4'!M95</f>
        <v>8996.9529842543761</v>
      </c>
      <c r="E95" s="360">
        <v>0</v>
      </c>
      <c r="F95" s="348">
        <f>'Table 4'!M95</f>
        <v>8996.9529842543761</v>
      </c>
      <c r="G95" s="360">
        <v>0</v>
      </c>
      <c r="H95" s="348">
        <f>'Table 4'!M95</f>
        <v>8996.9529842543761</v>
      </c>
      <c r="I95" s="360">
        <v>0</v>
      </c>
      <c r="J95" s="348">
        <f>'Table 4'!M95</f>
        <v>8996.9529842543761</v>
      </c>
      <c r="K95" s="162"/>
      <c r="L95" s="343" t="str">
        <f>'Table 5'!P94</f>
        <v>New project from CMAC UDF</v>
      </c>
      <c r="M95" s="341" t="s">
        <v>733</v>
      </c>
    </row>
    <row r="96" spans="1:13" s="320" customFormat="1" ht="33.75" x14ac:dyDescent="0.25">
      <c r="A96" s="167" t="s">
        <v>509</v>
      </c>
      <c r="B96" s="167" t="s">
        <v>226</v>
      </c>
      <c r="C96" s="372" t="str">
        <f>'Table 3'!C96</f>
        <v>Paynes Road Rail Overpass
Construction of a rail-road grade separation at the intersection of Paynes Road and the Melbourne-Ballarat rail corridor (interim standard).</v>
      </c>
      <c r="D96" s="348">
        <f>'Table 4'!M96</f>
        <v>2418.8500360959179</v>
      </c>
      <c r="E96" s="360">
        <v>0</v>
      </c>
      <c r="F96" s="348">
        <f>'Table 4'!M96</f>
        <v>2418.8500360959179</v>
      </c>
      <c r="G96" s="360">
        <v>0</v>
      </c>
      <c r="H96" s="348">
        <f>'Table 4'!M96</f>
        <v>2418.8500360959179</v>
      </c>
      <c r="I96" s="360">
        <v>0</v>
      </c>
      <c r="J96" s="348">
        <f>'Table 4'!M96</f>
        <v>2418.8500360959179</v>
      </c>
      <c r="K96" s="162"/>
      <c r="L96" s="343" t="str">
        <f>'Table 5'!P95</f>
        <v>New project from Rockbank DCP - BR04</v>
      </c>
      <c r="M96" s="341" t="s">
        <v>731</v>
      </c>
    </row>
    <row r="97" spans="1:13" s="320" customFormat="1" ht="67.5" x14ac:dyDescent="0.25">
      <c r="A97" s="167" t="s">
        <v>510</v>
      </c>
      <c r="B97" s="167" t="s">
        <v>226</v>
      </c>
      <c r="C97" s="372" t="str">
        <f>'Table 3'!C97</f>
        <v>Paynes Road Level Crossing Upgrade
Construction of an upgrade to the level crossing at the intersection of Paynes Road and the Melbourne-Ballarat rail corridor, including automatic gates and pedestrian crossings (ultimate standard). 
Note: Paynes Road level crossing will be closed upon completion of the construction of the Paynes Road Overpass (BD17).</v>
      </c>
      <c r="D97" s="348">
        <f>'Table 4'!M97</f>
        <v>102.12053434965563</v>
      </c>
      <c r="E97" s="360">
        <v>0</v>
      </c>
      <c r="F97" s="348">
        <f>'Table 4'!M97</f>
        <v>102.12053434965563</v>
      </c>
      <c r="G97" s="360">
        <v>0</v>
      </c>
      <c r="H97" s="348">
        <f>'Table 4'!M97</f>
        <v>102.12053434965563</v>
      </c>
      <c r="I97" s="360">
        <v>0</v>
      </c>
      <c r="J97" s="348">
        <f>'Table 4'!M97</f>
        <v>102.12053434965563</v>
      </c>
      <c r="K97" s="162"/>
      <c r="L97" s="343" t="str">
        <f>'Table 5'!P96</f>
        <v>New project from Rockbank DCP - BR07</v>
      </c>
      <c r="M97" s="341" t="s">
        <v>731</v>
      </c>
    </row>
    <row r="98" spans="1:13" s="320" customFormat="1" ht="45" x14ac:dyDescent="0.25">
      <c r="A98" s="167" t="s">
        <v>515</v>
      </c>
      <c r="B98" s="167" t="s">
        <v>226</v>
      </c>
      <c r="C98" s="372" t="str">
        <f>'Table 3'!C98</f>
        <v>Mount Cottrell Road Freeway Interchange
Purchase of land for the construction of a half diamond interchange at the intersection of Mount Cottrell Road and the Western Freeway corridor (ultimate standard, southern approach only)</v>
      </c>
      <c r="D98" s="348">
        <f>'Table 4'!M98</f>
        <v>487.78267005729822</v>
      </c>
      <c r="E98" s="360">
        <v>0</v>
      </c>
      <c r="F98" s="348">
        <f>'Table 4'!M98</f>
        <v>487.78267005729822</v>
      </c>
      <c r="G98" s="360">
        <v>0</v>
      </c>
      <c r="H98" s="348">
        <f>'Table 4'!M98</f>
        <v>487.78267005729822</v>
      </c>
      <c r="I98" s="360">
        <v>0</v>
      </c>
      <c r="J98" s="348">
        <f>'Table 4'!M98</f>
        <v>487.78267005729822</v>
      </c>
      <c r="K98" s="162"/>
      <c r="L98" s="343" t="str">
        <f>'Table 5'!P97</f>
        <v>New project from Paynes Road DCP</v>
      </c>
      <c r="M98" s="341" t="s">
        <v>732</v>
      </c>
    </row>
    <row r="99" spans="1:13" s="320" customFormat="1" ht="33.75" x14ac:dyDescent="0.25">
      <c r="A99" s="167" t="s">
        <v>516</v>
      </c>
      <c r="B99" s="167" t="s">
        <v>226</v>
      </c>
      <c r="C99" s="372" t="str">
        <f>'Table 3'!C99</f>
        <v>Mount Cottrell Road Rail Overpass
Purchase of land for the construction of a rail-road grade separation at the intersection of Mount Cottrell Road and the Melbourne-Ballarat rail corridor (ultimate standard).</v>
      </c>
      <c r="D99" s="348">
        <f>'Table 4'!M99</f>
        <v>146.33480101718948</v>
      </c>
      <c r="E99" s="360">
        <v>0</v>
      </c>
      <c r="F99" s="348">
        <f>'Table 4'!M99</f>
        <v>146.33480101718948</v>
      </c>
      <c r="G99" s="360">
        <v>0</v>
      </c>
      <c r="H99" s="348">
        <f>'Table 4'!M99</f>
        <v>146.33480101718948</v>
      </c>
      <c r="I99" s="360">
        <v>0</v>
      </c>
      <c r="J99" s="348">
        <f>'Table 4'!M99</f>
        <v>146.33480101718948</v>
      </c>
      <c r="K99" s="162"/>
      <c r="L99" s="343" t="str">
        <f>'Table 5'!P98</f>
        <v>New project from Paynes Road DCP
Land on east side acquired</v>
      </c>
      <c r="M99" s="341" t="s">
        <v>732</v>
      </c>
    </row>
    <row r="100" spans="1:13" s="320" customFormat="1" ht="67.5" x14ac:dyDescent="0.25">
      <c r="A100" s="167" t="s">
        <v>517</v>
      </c>
      <c r="B100" s="167" t="s">
        <v>226</v>
      </c>
      <c r="C100" s="372" t="str">
        <f>'Table 3'!C100</f>
        <v>Mount Cottrell Road Level Crossing Upgrade
Construction of an upgrade to the level crossing at the intersection of Mount Cottrell Road and the Melbourne-Ballarat rail corridor, including automatic gates and pedestrian crossings (ultimate standard). 
Note: Mount Cottrell Road level crossing will be closed upon completion of the construction of the Mount Cottrell Road Overpass (BD20).</v>
      </c>
      <c r="D100" s="348">
        <f>'Table 4'!M100</f>
        <v>748.35422127122672</v>
      </c>
      <c r="E100" s="360">
        <v>0</v>
      </c>
      <c r="F100" s="348">
        <f>'Table 4'!M100</f>
        <v>748.35422127122672</v>
      </c>
      <c r="G100" s="360">
        <v>0</v>
      </c>
      <c r="H100" s="348">
        <f>'Table 4'!M100</f>
        <v>748.35422127122672</v>
      </c>
      <c r="I100" s="360">
        <v>0</v>
      </c>
      <c r="J100" s="348">
        <f>'Table 4'!M100</f>
        <v>748.35422127122672</v>
      </c>
      <c r="K100" s="162"/>
      <c r="L100" s="343" t="str">
        <f>'Table 5'!P99</f>
        <v>New project from Paynes Road DCP</v>
      </c>
      <c r="M100" s="341" t="s">
        <v>731</v>
      </c>
    </row>
    <row r="101" spans="1:13" s="11" customFormat="1" x14ac:dyDescent="0.25">
      <c r="A101" s="439" t="s">
        <v>14</v>
      </c>
      <c r="B101" s="439"/>
      <c r="C101" s="369"/>
      <c r="D101" s="440">
        <f>SUM(D80:D100)</f>
        <v>42013.973419096365</v>
      </c>
      <c r="E101" s="440">
        <f t="shared" ref="E101:J101" si="2">SUM(E80:E100)</f>
        <v>0</v>
      </c>
      <c r="F101" s="440">
        <f t="shared" si="2"/>
        <v>42013.973419096365</v>
      </c>
      <c r="G101" s="440">
        <f t="shared" si="2"/>
        <v>0</v>
      </c>
      <c r="H101" s="440">
        <f t="shared" si="2"/>
        <v>42013.973419096365</v>
      </c>
      <c r="I101" s="440">
        <f t="shared" si="2"/>
        <v>0</v>
      </c>
      <c r="J101" s="440">
        <f t="shared" si="2"/>
        <v>42013.973419096365</v>
      </c>
      <c r="K101" s="89"/>
      <c r="L101" s="347"/>
      <c r="M101" s="347"/>
    </row>
    <row r="102" spans="1:13" s="12" customFormat="1" x14ac:dyDescent="0.25">
      <c r="A102" s="441" t="s">
        <v>303</v>
      </c>
      <c r="B102" s="441"/>
      <c r="C102" s="441"/>
      <c r="D102" s="442"/>
      <c r="E102" s="443"/>
      <c r="F102" s="442"/>
      <c r="G102" s="443"/>
      <c r="H102" s="442"/>
      <c r="I102" s="443"/>
      <c r="J102" s="442"/>
      <c r="K102" s="472"/>
      <c r="L102" s="438"/>
      <c r="M102" s="438"/>
    </row>
    <row r="103" spans="1:13" s="320" customFormat="1" ht="22.5" x14ac:dyDescent="0.25">
      <c r="A103" s="167" t="s">
        <v>402</v>
      </c>
      <c r="B103" s="167" t="s">
        <v>226</v>
      </c>
      <c r="C103" s="372" t="str">
        <f>'Table 3'!C103</f>
        <v>Bus Interchange
Purchase land to provide for Local Bus Interchange (1 Hectare)</v>
      </c>
      <c r="D103" s="348">
        <f>'Table 4'!M103</f>
        <v>2146.2437482521123</v>
      </c>
      <c r="E103" s="360">
        <v>0</v>
      </c>
      <c r="F103" s="348">
        <f>'Table 4'!M103</f>
        <v>2146.2437482521123</v>
      </c>
      <c r="G103" s="360">
        <v>0</v>
      </c>
      <c r="H103" s="348">
        <f>'Table 4'!M103</f>
        <v>2146.2437482521123</v>
      </c>
      <c r="I103" s="360">
        <v>0</v>
      </c>
      <c r="J103" s="348">
        <f>'Table 4'!M103</f>
        <v>2146.2437482521123</v>
      </c>
      <c r="K103" s="162"/>
      <c r="L103" s="343" t="str">
        <f>'Table 5'!P102</f>
        <v>Land acquired</v>
      </c>
      <c r="M103" s="343"/>
    </row>
    <row r="104" spans="1:13" s="11" customFormat="1" x14ac:dyDescent="0.25">
      <c r="A104" s="439" t="s">
        <v>14</v>
      </c>
      <c r="B104" s="439"/>
      <c r="C104" s="369"/>
      <c r="D104" s="440">
        <f>D103</f>
        <v>2146.2437482521123</v>
      </c>
      <c r="E104" s="440">
        <f t="shared" ref="E104:J104" si="3">E103</f>
        <v>0</v>
      </c>
      <c r="F104" s="440">
        <f t="shared" si="3"/>
        <v>2146.2437482521123</v>
      </c>
      <c r="G104" s="440">
        <f t="shared" si="3"/>
        <v>0</v>
      </c>
      <c r="H104" s="440">
        <f t="shared" si="3"/>
        <v>2146.2437482521123</v>
      </c>
      <c r="I104" s="440">
        <f t="shared" si="3"/>
        <v>0</v>
      </c>
      <c r="J104" s="440">
        <f t="shared" si="3"/>
        <v>2146.2437482521123</v>
      </c>
      <c r="K104" s="89"/>
      <c r="L104" s="347"/>
      <c r="M104" s="347"/>
    </row>
    <row r="105" spans="1:13" s="12" customFormat="1" x14ac:dyDescent="0.25">
      <c r="A105" s="441" t="s">
        <v>360</v>
      </c>
      <c r="B105" s="441"/>
      <c r="C105" s="441"/>
      <c r="D105" s="442"/>
      <c r="E105" s="443"/>
      <c r="F105" s="442"/>
      <c r="G105" s="443"/>
      <c r="H105" s="442"/>
      <c r="I105" s="443"/>
      <c r="J105" s="442"/>
      <c r="K105" s="472"/>
      <c r="L105" s="438"/>
      <c r="M105" s="438"/>
    </row>
    <row r="106" spans="1:13" ht="22.5" x14ac:dyDescent="0.25">
      <c r="A106" s="150" t="s">
        <v>404</v>
      </c>
      <c r="B106" s="150" t="s">
        <v>226</v>
      </c>
      <c r="C106" s="94" t="str">
        <f>'Table 3'!C106</f>
        <v>Weir Views North Sports Reserve
Purchase of 9.83 hectares of land for active open space for AR01 and AR02</v>
      </c>
      <c r="D106" s="444">
        <f>'Table 4'!M106</f>
        <v>12459.126276030109</v>
      </c>
      <c r="E106" s="445">
        <v>0</v>
      </c>
      <c r="F106" s="444">
        <f>'Table 4'!M106</f>
        <v>12459.126276030109</v>
      </c>
      <c r="G106" s="445">
        <v>0</v>
      </c>
      <c r="H106" s="444">
        <v>0</v>
      </c>
      <c r="I106" s="445">
        <v>0</v>
      </c>
      <c r="J106" s="444">
        <v>0</v>
      </c>
      <c r="L106" s="196" t="str">
        <f>'Table 5'!P105</f>
        <v>S173 Agreement to purchase land</v>
      </c>
      <c r="M106" s="196"/>
    </row>
    <row r="107" spans="1:13" s="46" customFormat="1" ht="22.5" x14ac:dyDescent="0.25">
      <c r="A107" s="211" t="s">
        <v>405</v>
      </c>
      <c r="B107" s="211" t="s">
        <v>226</v>
      </c>
      <c r="C107" s="373" t="str">
        <f>'Table 3'!C107</f>
        <v>Weir Views East Sports Reserve
Purchase of 4.00 hectares of land for active open space for AR03 and AR04</v>
      </c>
      <c r="D107" s="353">
        <f>'Table 4'!M107</f>
        <v>8695.573409661145</v>
      </c>
      <c r="E107" s="359">
        <v>0</v>
      </c>
      <c r="F107" s="353">
        <f>'Table 4'!M107</f>
        <v>8695.573409661145</v>
      </c>
      <c r="G107" s="359">
        <v>0</v>
      </c>
      <c r="H107" s="353">
        <v>0</v>
      </c>
      <c r="I107" s="359">
        <v>0</v>
      </c>
      <c r="J107" s="353">
        <v>0</v>
      </c>
      <c r="K107" s="95"/>
      <c r="L107" s="208" t="str">
        <f>'Table 5'!P106</f>
        <v>S173 Agreement to purchase land</v>
      </c>
      <c r="M107" s="208"/>
    </row>
    <row r="108" spans="1:13" ht="22.5" x14ac:dyDescent="0.25">
      <c r="A108" s="150" t="s">
        <v>406</v>
      </c>
      <c r="B108" s="150" t="s">
        <v>226</v>
      </c>
      <c r="C108" s="94" t="str">
        <f>'Table 3'!C108</f>
        <v>Weir Views South Sports Reserve
Purchase of 8.96 hectares of land for active open space for AR05 and AR06</v>
      </c>
      <c r="D108" s="444">
        <f>'Table 4'!M108</f>
        <v>16236.265975851667</v>
      </c>
      <c r="E108" s="445">
        <v>0</v>
      </c>
      <c r="F108" s="444">
        <f>'Table 4'!M108</f>
        <v>16236.265975851667</v>
      </c>
      <c r="G108" s="445">
        <v>0</v>
      </c>
      <c r="H108" s="444">
        <v>0</v>
      </c>
      <c r="I108" s="445">
        <v>0</v>
      </c>
      <c r="J108" s="444">
        <v>0</v>
      </c>
      <c r="L108" s="196" t="str">
        <f>'Table 5'!P107</f>
        <v>Not acquired</v>
      </c>
      <c r="M108" s="196"/>
    </row>
    <row r="109" spans="1:13" ht="22.5" x14ac:dyDescent="0.25">
      <c r="A109" s="150" t="s">
        <v>407</v>
      </c>
      <c r="B109" s="150" t="s">
        <v>226</v>
      </c>
      <c r="C109" s="94" t="str">
        <f>'Table 3'!C109</f>
        <v>Strathtulloh Sports Reserve
Purchase of 8.62 hectares of land for active open space for AR07 and AR08</v>
      </c>
      <c r="D109" s="444">
        <f>'Table 4'!M109</f>
        <v>17957.264879847102</v>
      </c>
      <c r="E109" s="445">
        <v>0</v>
      </c>
      <c r="F109" s="444">
        <f>'Table 4'!M109</f>
        <v>17957.264879847102</v>
      </c>
      <c r="G109" s="445">
        <v>0</v>
      </c>
      <c r="H109" s="444">
        <v>0</v>
      </c>
      <c r="I109" s="445">
        <v>0</v>
      </c>
      <c r="J109" s="444">
        <v>0</v>
      </c>
      <c r="L109" s="196" t="str">
        <f>'Table 5'!P108</f>
        <v>Not acquired</v>
      </c>
      <c r="M109" s="196"/>
    </row>
    <row r="110" spans="1:13" ht="22.5" x14ac:dyDescent="0.25">
      <c r="A110" s="150" t="s">
        <v>408</v>
      </c>
      <c r="B110" s="150" t="s">
        <v>226</v>
      </c>
      <c r="C110" s="94" t="str">
        <f>'Table 3'!C110</f>
        <v>Thornhill Park Sports Reserve
Purchase of 8.69 hectares of land for active open space for AR09 and AR10</v>
      </c>
      <c r="D110" s="444">
        <f>'Table 4'!M110</f>
        <v>18093.133214373058</v>
      </c>
      <c r="E110" s="445">
        <v>0</v>
      </c>
      <c r="F110" s="444">
        <f>'Table 4'!M110</f>
        <v>18093.133214373058</v>
      </c>
      <c r="G110" s="445">
        <v>0</v>
      </c>
      <c r="H110" s="444">
        <v>0</v>
      </c>
      <c r="I110" s="445">
        <v>0</v>
      </c>
      <c r="J110" s="444">
        <v>0</v>
      </c>
      <c r="L110" s="196" t="str">
        <f>'Table 5'!P109</f>
        <v>Not acquired</v>
      </c>
      <c r="M110" s="196"/>
    </row>
    <row r="111" spans="1:13" ht="22.5" x14ac:dyDescent="0.25">
      <c r="A111" s="150" t="s">
        <v>409</v>
      </c>
      <c r="B111" s="150" t="s">
        <v>226</v>
      </c>
      <c r="C111" s="94" t="str">
        <f>'Table 3'!C111</f>
        <v>Cobblebank East Sports Reserve
Purchase of 4.56 hectares of land for active open space for AR11 and AR12</v>
      </c>
      <c r="D111" s="444">
        <f>'Table 4'!M111</f>
        <v>11141.203431128341</v>
      </c>
      <c r="E111" s="445">
        <v>0</v>
      </c>
      <c r="F111" s="444">
        <f>'Table 4'!M111</f>
        <v>11141.203431128341</v>
      </c>
      <c r="G111" s="445">
        <v>0</v>
      </c>
      <c r="H111" s="444">
        <v>0</v>
      </c>
      <c r="I111" s="445">
        <v>0</v>
      </c>
      <c r="J111" s="444">
        <v>0</v>
      </c>
      <c r="L111" s="196" t="str">
        <f>'Table 5'!P110</f>
        <v>Not acquired</v>
      </c>
      <c r="M111" s="196"/>
    </row>
    <row r="112" spans="1:13" ht="33.75" x14ac:dyDescent="0.25">
      <c r="A112" s="150" t="s">
        <v>410</v>
      </c>
      <c r="B112" s="150" t="s">
        <v>226</v>
      </c>
      <c r="C112" s="94" t="str">
        <f>'Table 3'!C112</f>
        <v>Cobblebank Central Sports Reserve
Purchase of 8.19 hectares of land for active open space for AR13 and AR14. Area 2 Contributions (60%)</v>
      </c>
      <c r="D112" s="444">
        <v>0</v>
      </c>
      <c r="E112" s="445">
        <v>0</v>
      </c>
      <c r="F112" s="444">
        <f>'Table 4'!M112</f>
        <v>14209.692028985506</v>
      </c>
      <c r="G112" s="445">
        <v>0</v>
      </c>
      <c r="H112" s="444">
        <v>0</v>
      </c>
      <c r="I112" s="445">
        <v>0</v>
      </c>
      <c r="J112" s="444">
        <v>0</v>
      </c>
      <c r="L112" s="196" t="str">
        <f>'Table 5'!P111</f>
        <v>Not acquired</v>
      </c>
      <c r="M112" s="196"/>
    </row>
    <row r="113" spans="1:13" ht="33.75" x14ac:dyDescent="0.25">
      <c r="A113" s="150" t="s">
        <v>411</v>
      </c>
      <c r="B113" s="150" t="s">
        <v>226</v>
      </c>
      <c r="C113" s="94" t="str">
        <f>'Table 3'!C113</f>
        <v>Cobblebank Central Sports Reserve
Purchase of 8.19 hectares of land for active open space for AR13 and AR14. Area 3 Contributions (40%)</v>
      </c>
      <c r="D113" s="444">
        <v>0</v>
      </c>
      <c r="E113" s="445">
        <v>0</v>
      </c>
      <c r="F113" s="444">
        <v>0</v>
      </c>
      <c r="G113" s="445">
        <v>0</v>
      </c>
      <c r="H113" s="444">
        <f>'Table 4'!M113</f>
        <v>88111.397144863091</v>
      </c>
      <c r="I113" s="445">
        <v>0</v>
      </c>
      <c r="J113" s="444">
        <v>0</v>
      </c>
      <c r="L113" s="196" t="str">
        <f>'Table 5'!P112</f>
        <v>Not acquired</v>
      </c>
      <c r="M113" s="196"/>
    </row>
    <row r="114" spans="1:13" ht="22.5" x14ac:dyDescent="0.25">
      <c r="A114" s="150" t="s">
        <v>412</v>
      </c>
      <c r="B114" s="150" t="s">
        <v>226</v>
      </c>
      <c r="C114" s="94" t="str">
        <f>'Table 3'!C114</f>
        <v>Cobblebank MAC Open Space
Purchase of 1.0 hectare for Metropolitan Activity Centre Public Open Space</v>
      </c>
      <c r="D114" s="444">
        <f>'Table 4'!M114</f>
        <v>1756.0176122062735</v>
      </c>
      <c r="E114" s="445">
        <v>0</v>
      </c>
      <c r="F114" s="444">
        <f>'Table 4'!M114</f>
        <v>1756.0176122062735</v>
      </c>
      <c r="G114" s="445">
        <v>0</v>
      </c>
      <c r="H114" s="444">
        <f>'Table 4'!M114</f>
        <v>1756.0176122062735</v>
      </c>
      <c r="I114" s="445">
        <v>0</v>
      </c>
      <c r="J114" s="444">
        <f>'Table 4'!M114</f>
        <v>1756.0176122062735</v>
      </c>
      <c r="L114" s="196" t="str">
        <f>'Table 5'!P113</f>
        <v>Not acquired</v>
      </c>
      <c r="M114" s="196"/>
    </row>
    <row r="115" spans="1:13" s="11" customFormat="1" x14ac:dyDescent="0.25">
      <c r="A115" s="439" t="s">
        <v>14</v>
      </c>
      <c r="B115" s="439"/>
      <c r="C115" s="369"/>
      <c r="D115" s="440">
        <f>SUM(D106:D114)</f>
        <v>86338.584799097676</v>
      </c>
      <c r="E115" s="440">
        <f t="shared" ref="E115:J115" si="4">SUM(E106:E114)</f>
        <v>0</v>
      </c>
      <c r="F115" s="440">
        <f t="shared" si="4"/>
        <v>100548.27682808318</v>
      </c>
      <c r="G115" s="440">
        <f t="shared" si="4"/>
        <v>0</v>
      </c>
      <c r="H115" s="440">
        <f t="shared" si="4"/>
        <v>89867.41475706936</v>
      </c>
      <c r="I115" s="440">
        <f t="shared" si="4"/>
        <v>0</v>
      </c>
      <c r="J115" s="440">
        <f t="shared" si="4"/>
        <v>1756.0176122062735</v>
      </c>
      <c r="K115" s="89"/>
      <c r="L115" s="347"/>
      <c r="M115" s="347"/>
    </row>
    <row r="116" spans="1:13" s="12" customFormat="1" x14ac:dyDescent="0.25">
      <c r="A116" s="441" t="s">
        <v>305</v>
      </c>
      <c r="B116" s="441"/>
      <c r="C116" s="441"/>
      <c r="D116" s="442"/>
      <c r="E116" s="443"/>
      <c r="F116" s="442"/>
      <c r="G116" s="443"/>
      <c r="H116" s="442"/>
      <c r="I116" s="443"/>
      <c r="J116" s="442"/>
      <c r="K116" s="472"/>
      <c r="L116" s="438"/>
      <c r="M116" s="438"/>
    </row>
    <row r="117" spans="1:13" s="47" customFormat="1" ht="33.75" x14ac:dyDescent="0.25">
      <c r="A117" s="182" t="s">
        <v>306</v>
      </c>
      <c r="B117" s="182" t="s">
        <v>226</v>
      </c>
      <c r="C117" s="446" t="str">
        <f>'Table 3'!C117</f>
        <v>Cobblebank Higher Order Civic Facility
Higher Order Civic Facility, including a Level 3 Community Centre, located within the Metropolitan Activity Centre.</v>
      </c>
      <c r="D117" s="447" t="str">
        <f>'Table 4'!M117</f>
        <v>-</v>
      </c>
      <c r="E117" s="448">
        <v>0</v>
      </c>
      <c r="F117" s="447" t="str">
        <f>'Table 4'!M117</f>
        <v>-</v>
      </c>
      <c r="G117" s="448">
        <v>0</v>
      </c>
      <c r="H117" s="447" t="str">
        <f>'Table 4'!M117</f>
        <v>-</v>
      </c>
      <c r="I117" s="448">
        <v>0</v>
      </c>
      <c r="J117" s="447">
        <v>0</v>
      </c>
      <c r="K117" s="95"/>
      <c r="L117" s="449" t="str">
        <f>'Table 5'!P116</f>
        <v>Not commenced</v>
      </c>
      <c r="M117" s="450"/>
    </row>
    <row r="118" spans="1:13" s="47" customFormat="1" ht="22.5" x14ac:dyDescent="0.25">
      <c r="A118" s="182" t="s">
        <v>308</v>
      </c>
      <c r="B118" s="182" t="s">
        <v>226</v>
      </c>
      <c r="C118" s="446" t="str">
        <f>'Table 3'!C118</f>
        <v>Cobblebank Indoor Recreation Centre
Indoor Recreation Centre located within the Metropolitan Activity Centre.</v>
      </c>
      <c r="D118" s="447" t="str">
        <f>'Table 4'!M118</f>
        <v>-</v>
      </c>
      <c r="E118" s="448">
        <v>0</v>
      </c>
      <c r="F118" s="447" t="str">
        <f>'Table 4'!M118</f>
        <v>-</v>
      </c>
      <c r="G118" s="448">
        <v>0</v>
      </c>
      <c r="H118" s="447" t="str">
        <f>'Table 4'!M118</f>
        <v>-</v>
      </c>
      <c r="I118" s="448">
        <v>0</v>
      </c>
      <c r="J118" s="447">
        <v>0</v>
      </c>
      <c r="K118" s="95"/>
      <c r="L118" s="450" t="str">
        <f>'Table 5'!P117</f>
        <v>Constructed</v>
      </c>
      <c r="M118" s="449"/>
    </row>
    <row r="119" spans="1:13" ht="45" x14ac:dyDescent="0.25">
      <c r="A119" s="150" t="s">
        <v>309</v>
      </c>
      <c r="B119" s="150" t="s">
        <v>226</v>
      </c>
      <c r="C119" s="94" t="str">
        <f>'Table 3'!C119</f>
        <v>Weir Views North Community Centre
Purchase of land and construction of a multi-purpose community centre (Level 1) in Community Hub 1 - early childhood rooms component - including kindergarten and maternal health.</v>
      </c>
      <c r="D119" s="444">
        <f>'Table 4'!M119</f>
        <v>24144.893734027759</v>
      </c>
      <c r="E119" s="445">
        <v>0</v>
      </c>
      <c r="F119" s="444">
        <v>0</v>
      </c>
      <c r="G119" s="445">
        <v>0</v>
      </c>
      <c r="H119" s="444">
        <v>0</v>
      </c>
      <c r="I119" s="445">
        <v>0</v>
      </c>
      <c r="J119" s="444">
        <v>0</v>
      </c>
      <c r="L119" s="196" t="str">
        <f>'Table 5'!P118</f>
        <v>S173 Agreement to purchase land</v>
      </c>
      <c r="M119" s="196"/>
    </row>
    <row r="120" spans="1:13" s="320" customFormat="1" ht="33.75" x14ac:dyDescent="0.25">
      <c r="A120" s="167" t="s">
        <v>312</v>
      </c>
      <c r="B120" s="167" t="s">
        <v>226</v>
      </c>
      <c r="C120" s="372" t="str">
        <f>'Table 3'!C120</f>
        <v>Weir Views North Community Centre
Construction of a multi-purpose community centre (Level 1) in Community Hub 1 - community rooms component.</v>
      </c>
      <c r="D120" s="348">
        <v>0</v>
      </c>
      <c r="E120" s="360" t="s">
        <v>388</v>
      </c>
      <c r="F120" s="348">
        <v>0</v>
      </c>
      <c r="G120" s="360">
        <v>0</v>
      </c>
      <c r="H120" s="348">
        <v>0</v>
      </c>
      <c r="I120" s="360">
        <v>0</v>
      </c>
      <c r="J120" s="348">
        <v>0</v>
      </c>
      <c r="K120" s="162"/>
      <c r="L120" s="343" t="str">
        <f>'Table 5'!P119</f>
        <v>Not commenced</v>
      </c>
      <c r="M120" s="343"/>
    </row>
    <row r="121" spans="1:13" s="320" customFormat="1" ht="22.5" x14ac:dyDescent="0.25">
      <c r="A121" s="167" t="s">
        <v>518</v>
      </c>
      <c r="B121" s="167"/>
      <c r="C121" s="372" t="str">
        <f>'Table 5'!C120</f>
        <v>Deleted</v>
      </c>
      <c r="D121" s="348"/>
      <c r="E121" s="360"/>
      <c r="F121" s="348"/>
      <c r="G121" s="360"/>
      <c r="H121" s="348"/>
      <c r="I121" s="360"/>
      <c r="J121" s="348"/>
      <c r="K121" s="162"/>
      <c r="L121" s="343" t="str">
        <f>'Table 5'!P120</f>
        <v>Project deleted as Council does not include childcare rooms in early childhood centres</v>
      </c>
      <c r="M121" s="343"/>
    </row>
    <row r="122" spans="1:13" s="320" customFormat="1" ht="45" x14ac:dyDescent="0.25">
      <c r="A122" s="167" t="s">
        <v>314</v>
      </c>
      <c r="B122" s="167" t="s">
        <v>226</v>
      </c>
      <c r="C122" s="372" t="str">
        <f>'Table 3'!C122</f>
        <v>Weir Views South Community Centre
Purchase of land and construction of a multi-purpose community centre (Level 2) in Community Hub 2 - early childhood rooms component - including kindergarten and maternal health.</v>
      </c>
      <c r="D122" s="348">
        <f>'Table 4'!M122</f>
        <v>39121.162617668946</v>
      </c>
      <c r="E122" s="360">
        <v>0</v>
      </c>
      <c r="F122" s="348">
        <v>0</v>
      </c>
      <c r="G122" s="360">
        <v>0</v>
      </c>
      <c r="H122" s="348">
        <v>0</v>
      </c>
      <c r="I122" s="360">
        <v>0</v>
      </c>
      <c r="J122" s="348">
        <v>0</v>
      </c>
      <c r="K122" s="162"/>
      <c r="L122" s="343" t="str">
        <f>'Table 5'!P121</f>
        <v>Not commenced</v>
      </c>
      <c r="M122" s="343"/>
    </row>
    <row r="123" spans="1:13" s="320" customFormat="1" ht="33.75" x14ac:dyDescent="0.25">
      <c r="A123" s="167" t="s">
        <v>315</v>
      </c>
      <c r="B123" s="167" t="s">
        <v>226</v>
      </c>
      <c r="C123" s="372" t="str">
        <f>'Table 3'!C123</f>
        <v>Weir Views South Community Centre
Construction of a multi-purpose community centre (Level 2) in Community Hub 2 - community rooms component.</v>
      </c>
      <c r="D123" s="348">
        <v>0</v>
      </c>
      <c r="E123" s="360" t="s">
        <v>388</v>
      </c>
      <c r="F123" s="348">
        <v>0</v>
      </c>
      <c r="G123" s="360">
        <v>0</v>
      </c>
      <c r="H123" s="348">
        <v>0</v>
      </c>
      <c r="I123" s="360">
        <v>0</v>
      </c>
      <c r="J123" s="348">
        <v>0</v>
      </c>
      <c r="K123" s="162"/>
      <c r="L123" s="343" t="str">
        <f>'Table 5'!P122</f>
        <v>Not commenced</v>
      </c>
      <c r="M123" s="343"/>
    </row>
    <row r="124" spans="1:13" s="320" customFormat="1" ht="22.5" x14ac:dyDescent="0.25">
      <c r="A124" s="167" t="s">
        <v>519</v>
      </c>
      <c r="B124" s="167"/>
      <c r="C124" s="372" t="str">
        <f>'Table 3'!C124</f>
        <v>Deleted</v>
      </c>
      <c r="D124" s="348"/>
      <c r="E124" s="360"/>
      <c r="F124" s="348"/>
      <c r="G124" s="360"/>
      <c r="H124" s="348"/>
      <c r="I124" s="360"/>
      <c r="J124" s="348"/>
      <c r="K124" s="162"/>
      <c r="L124" s="343" t="str">
        <f>'Table 5'!P123</f>
        <v>Project deleted as Council does not include childcare rooms in early childhood centres</v>
      </c>
      <c r="M124" s="343"/>
    </row>
    <row r="125" spans="1:13" s="320" customFormat="1" ht="45" x14ac:dyDescent="0.25">
      <c r="A125" s="167" t="s">
        <v>316</v>
      </c>
      <c r="B125" s="167" t="s">
        <v>226</v>
      </c>
      <c r="C125" s="372" t="str">
        <f>'Table 3'!C125</f>
        <v>Strathtulloh Community Centre
Purchase of land and construction of a multi-purpose community centre (Level 1) in Community Hub 3 - early childhood rooms component - including kindergarten and maternal health.</v>
      </c>
      <c r="D125" s="348">
        <v>0</v>
      </c>
      <c r="E125" s="360">
        <v>0</v>
      </c>
      <c r="F125" s="348">
        <f>'Table 4'!M125</f>
        <v>13602.971517713364</v>
      </c>
      <c r="G125" s="360">
        <v>0</v>
      </c>
      <c r="H125" s="348">
        <v>0</v>
      </c>
      <c r="I125" s="360">
        <v>0</v>
      </c>
      <c r="J125" s="348">
        <v>0</v>
      </c>
      <c r="K125" s="162"/>
      <c r="L125" s="343" t="str">
        <f>'Table 5'!P124</f>
        <v>Not commenced</v>
      </c>
      <c r="M125" s="343"/>
    </row>
    <row r="126" spans="1:13" s="320" customFormat="1" ht="33.75" x14ac:dyDescent="0.25">
      <c r="A126" s="167" t="s">
        <v>318</v>
      </c>
      <c r="B126" s="167" t="s">
        <v>226</v>
      </c>
      <c r="C126" s="372" t="str">
        <f>'Table 3'!C126</f>
        <v>Strathtulloh Community Centre
Construction of a multi-purpose community centre (Level 1) in Community Hub 3 - community rooms component.</v>
      </c>
      <c r="D126" s="348">
        <v>0</v>
      </c>
      <c r="E126" s="360">
        <v>0</v>
      </c>
      <c r="F126" s="348">
        <v>0</v>
      </c>
      <c r="G126" s="360" t="s">
        <v>388</v>
      </c>
      <c r="H126" s="348">
        <v>0</v>
      </c>
      <c r="I126" s="360">
        <v>0</v>
      </c>
      <c r="J126" s="348">
        <v>0</v>
      </c>
      <c r="K126" s="162"/>
      <c r="L126" s="343" t="str">
        <f>'Table 5'!P125</f>
        <v>Not commenced</v>
      </c>
      <c r="M126" s="343"/>
    </row>
    <row r="127" spans="1:13" s="320" customFormat="1" ht="22.5" x14ac:dyDescent="0.25">
      <c r="A127" s="167" t="s">
        <v>520</v>
      </c>
      <c r="B127" s="167"/>
      <c r="C127" s="372" t="str">
        <f>'Table 3'!C127</f>
        <v>Deleted</v>
      </c>
      <c r="D127" s="348"/>
      <c r="E127" s="360"/>
      <c r="F127" s="348"/>
      <c r="G127" s="360"/>
      <c r="H127" s="348"/>
      <c r="I127" s="360"/>
      <c r="J127" s="348"/>
      <c r="K127" s="162"/>
      <c r="L127" s="343" t="str">
        <f>'Table 5'!P126</f>
        <v>Project deleted as Council does not include childcare rooms in early childhood centres</v>
      </c>
      <c r="M127" s="343"/>
    </row>
    <row r="128" spans="1:13" s="320" customFormat="1" ht="45" x14ac:dyDescent="0.25">
      <c r="A128" s="167" t="s">
        <v>319</v>
      </c>
      <c r="B128" s="167" t="s">
        <v>226</v>
      </c>
      <c r="C128" s="372" t="str">
        <f>'Table 3'!C128</f>
        <v>Thornhill Park Community Centre
Purchase of land and construction of a multi-purpose community centre (Level 1) in Community Hub 4 - early childhood rooms component - including kindergarten and maternal health.</v>
      </c>
      <c r="D128" s="348">
        <v>0</v>
      </c>
      <c r="E128" s="360">
        <v>0</v>
      </c>
      <c r="F128" s="348">
        <f>'Table 4'!M128</f>
        <v>13602.971517713364</v>
      </c>
      <c r="G128" s="360">
        <v>0</v>
      </c>
      <c r="H128" s="348">
        <v>0</v>
      </c>
      <c r="I128" s="360">
        <v>0</v>
      </c>
      <c r="J128" s="348">
        <v>0</v>
      </c>
      <c r="K128" s="162"/>
      <c r="L128" s="343" t="str">
        <f>'Table 5'!P127</f>
        <v>Not commenced</v>
      </c>
      <c r="M128" s="343"/>
    </row>
    <row r="129" spans="1:13" s="320" customFormat="1" ht="33.75" x14ac:dyDescent="0.25">
      <c r="A129" s="167" t="s">
        <v>320</v>
      </c>
      <c r="B129" s="167" t="s">
        <v>226</v>
      </c>
      <c r="C129" s="372" t="str">
        <f>'Table 3'!C129</f>
        <v>Thornhill Park Community Centre
Construction of a multi-purpose community centre (Level 1) in Community Hub 4 - community rooms component.</v>
      </c>
      <c r="D129" s="348">
        <v>0</v>
      </c>
      <c r="E129" s="360">
        <v>0</v>
      </c>
      <c r="F129" s="348">
        <v>0</v>
      </c>
      <c r="G129" s="360" t="s">
        <v>388</v>
      </c>
      <c r="H129" s="348">
        <v>0</v>
      </c>
      <c r="I129" s="360">
        <v>0</v>
      </c>
      <c r="J129" s="348">
        <v>0</v>
      </c>
      <c r="K129" s="162"/>
      <c r="L129" s="343" t="str">
        <f>'Table 5'!P128</f>
        <v>Not commenced</v>
      </c>
      <c r="M129" s="343"/>
    </row>
    <row r="130" spans="1:13" s="320" customFormat="1" ht="22.5" x14ac:dyDescent="0.25">
      <c r="A130" s="167" t="s">
        <v>521</v>
      </c>
      <c r="B130" s="167"/>
      <c r="C130" s="372" t="str">
        <f>'Table 3'!C130</f>
        <v>Deleted</v>
      </c>
      <c r="D130" s="348"/>
      <c r="E130" s="360"/>
      <c r="F130" s="348"/>
      <c r="G130" s="360"/>
      <c r="H130" s="348"/>
      <c r="I130" s="360"/>
      <c r="J130" s="348"/>
      <c r="K130" s="162"/>
      <c r="L130" s="343" t="str">
        <f>'Table 5'!P129</f>
        <v>Project deleted as Council does not include childcare rooms in early childhood centres</v>
      </c>
      <c r="M130" s="343"/>
    </row>
    <row r="131" spans="1:13" s="320" customFormat="1" ht="45" x14ac:dyDescent="0.25">
      <c r="A131" s="167" t="s">
        <v>321</v>
      </c>
      <c r="B131" s="167" t="s">
        <v>226</v>
      </c>
      <c r="C131" s="372" t="str">
        <f>'Table 3'!C131</f>
        <v>Cobblebank East Community Centre
Purchase of land and construction of a multi-purpose community centre (Level 2) in Community Hub 5 - early childhood rooms component - including kindergarten and maternal health.</v>
      </c>
      <c r="D131" s="348">
        <v>0</v>
      </c>
      <c r="E131" s="360">
        <v>0</v>
      </c>
      <c r="F131" s="348">
        <f>'Table 4'!M131</f>
        <v>15465.887932769725</v>
      </c>
      <c r="G131" s="360">
        <v>0</v>
      </c>
      <c r="H131" s="348">
        <v>0</v>
      </c>
      <c r="I131" s="360">
        <v>0</v>
      </c>
      <c r="J131" s="348">
        <v>0</v>
      </c>
      <c r="K131" s="162"/>
      <c r="L131" s="343" t="str">
        <f>'Table 5'!P130</f>
        <v>Not commenced</v>
      </c>
      <c r="M131" s="343"/>
    </row>
    <row r="132" spans="1:13" s="320" customFormat="1" ht="33.75" x14ac:dyDescent="0.25">
      <c r="A132" s="167" t="s">
        <v>322</v>
      </c>
      <c r="B132" s="167" t="s">
        <v>226</v>
      </c>
      <c r="C132" s="372" t="str">
        <f>'Table 3'!C132</f>
        <v>Cobblebank East Community Centre
Construction of a multi-purpose community centre (Level 2) in Community Hub 5 - community rooms component.</v>
      </c>
      <c r="D132" s="348">
        <v>0</v>
      </c>
      <c r="E132" s="360">
        <v>0</v>
      </c>
      <c r="F132" s="348">
        <v>0</v>
      </c>
      <c r="G132" s="360" t="s">
        <v>388</v>
      </c>
      <c r="H132" s="348">
        <v>0</v>
      </c>
      <c r="I132" s="360">
        <v>0</v>
      </c>
      <c r="J132" s="348">
        <v>0</v>
      </c>
      <c r="K132" s="162"/>
      <c r="L132" s="343" t="str">
        <f>'Table 5'!P131</f>
        <v>Not commenced</v>
      </c>
      <c r="M132" s="343"/>
    </row>
    <row r="133" spans="1:13" s="320" customFormat="1" ht="22.5" x14ac:dyDescent="0.25">
      <c r="A133" s="167" t="s">
        <v>522</v>
      </c>
      <c r="B133" s="167"/>
      <c r="C133" s="372" t="str">
        <f>'Table 3'!C133</f>
        <v>Deleted</v>
      </c>
      <c r="D133" s="348"/>
      <c r="E133" s="360"/>
      <c r="F133" s="348"/>
      <c r="G133" s="360"/>
      <c r="H133" s="348"/>
      <c r="I133" s="360"/>
      <c r="J133" s="348"/>
      <c r="K133" s="162"/>
      <c r="L133" s="343" t="str">
        <f>'Table 5'!P132</f>
        <v>Project deleted as Council does not include childcare rooms in early childhood centres</v>
      </c>
      <c r="M133" s="343"/>
    </row>
    <row r="134" spans="1:13" s="320" customFormat="1" ht="45" x14ac:dyDescent="0.25">
      <c r="A134" s="167" t="s">
        <v>323</v>
      </c>
      <c r="B134" s="167" t="s">
        <v>226</v>
      </c>
      <c r="C134" s="372" t="str">
        <f>'Table 3'!C134</f>
        <v xml:space="preserve">Bridge Road Community Centre
Construction of a multi-purpose community centre (Level 2) in Community Hub 6 - early childhood components - including kindergarten and maternal health. 
Area 2 contribution (60%) </v>
      </c>
      <c r="D134" s="348">
        <v>0</v>
      </c>
      <c r="E134" s="360">
        <v>0</v>
      </c>
      <c r="F134" s="348">
        <f>'Table 4'!M134</f>
        <v>1614.7740916867951</v>
      </c>
      <c r="G134" s="360">
        <v>0</v>
      </c>
      <c r="H134" s="348">
        <v>0</v>
      </c>
      <c r="I134" s="360">
        <v>0</v>
      </c>
      <c r="J134" s="348">
        <v>0</v>
      </c>
      <c r="K134" s="162"/>
      <c r="L134" s="343" t="str">
        <f>'Table 5'!P133</f>
        <v>Constructed</v>
      </c>
      <c r="M134" s="343"/>
    </row>
    <row r="135" spans="1:13" s="320" customFormat="1" ht="45" x14ac:dyDescent="0.25">
      <c r="A135" s="167" t="s">
        <v>324</v>
      </c>
      <c r="B135" s="167" t="s">
        <v>226</v>
      </c>
      <c r="C135" s="372" t="str">
        <f>'Table 3'!C135</f>
        <v>Bridge Road Community Centre
Construction of a multi-purpose community centre (Level 2) in Community Hub 6 - early childhood components - including kindergarten and maternal health. 
Area 3 contribution (40%)</v>
      </c>
      <c r="D135" s="348">
        <v>0</v>
      </c>
      <c r="E135" s="360">
        <v>0</v>
      </c>
      <c r="F135" s="348">
        <v>0</v>
      </c>
      <c r="G135" s="360">
        <v>0</v>
      </c>
      <c r="H135" s="348">
        <f>'Table 4'!M135</f>
        <v>7469.3994851392454</v>
      </c>
      <c r="I135" s="360">
        <v>0</v>
      </c>
      <c r="J135" s="348">
        <v>0</v>
      </c>
      <c r="K135" s="162"/>
      <c r="L135" s="343" t="str">
        <f>'Table 5'!P134</f>
        <v>Constructed</v>
      </c>
      <c r="M135" s="343"/>
    </row>
    <row r="136" spans="1:13" s="320" customFormat="1" ht="45" x14ac:dyDescent="0.25">
      <c r="A136" s="167" t="s">
        <v>326</v>
      </c>
      <c r="B136" s="167" t="s">
        <v>226</v>
      </c>
      <c r="C136" s="372" t="str">
        <f>'Table 3'!C136</f>
        <v xml:space="preserve">Bridge Road Community Centre
Purchase of land and construction of a multi-purpose community centre (Level 2) in Community Hub 6 - childcare components. 
Area 2 contribution (60%) </v>
      </c>
      <c r="D136" s="348">
        <v>0</v>
      </c>
      <c r="E136" s="360">
        <v>0</v>
      </c>
      <c r="F136" s="348">
        <f>'Table 4'!M136</f>
        <v>4305.7305253623181</v>
      </c>
      <c r="G136" s="360">
        <v>0</v>
      </c>
      <c r="H136" s="348">
        <v>0</v>
      </c>
      <c r="I136" s="360">
        <v>0</v>
      </c>
      <c r="J136" s="348">
        <v>0</v>
      </c>
      <c r="K136" s="162"/>
      <c r="L136" s="343" t="str">
        <f>'Table 5'!P135</f>
        <v>Constructed</v>
      </c>
      <c r="M136" s="343"/>
    </row>
    <row r="137" spans="1:13" s="320" customFormat="1" ht="45" x14ac:dyDescent="0.25">
      <c r="A137" s="167" t="s">
        <v>327</v>
      </c>
      <c r="B137" s="167" t="s">
        <v>226</v>
      </c>
      <c r="C137" s="372" t="str">
        <f>'Table 3'!C137</f>
        <v xml:space="preserve">Bridge Road Community Centre
Purchase of land and construction of a multi-purpose community centre (Level 2) in Community Hub 6 - childcare components. 
Area 3 contribution (40%) </v>
      </c>
      <c r="D137" s="348">
        <v>0</v>
      </c>
      <c r="E137" s="360">
        <v>0</v>
      </c>
      <c r="F137" s="348">
        <v>0</v>
      </c>
      <c r="G137" s="360">
        <v>0</v>
      </c>
      <c r="H137" s="348">
        <f>'Table 4'!M137</f>
        <v>26698.950035104139</v>
      </c>
      <c r="I137" s="360">
        <v>0</v>
      </c>
      <c r="J137" s="348">
        <v>0</v>
      </c>
      <c r="K137" s="162"/>
      <c r="L137" s="343" t="str">
        <f>'Table 5'!P136</f>
        <v>Constructed</v>
      </c>
      <c r="M137" s="343"/>
    </row>
    <row r="138" spans="1:13" s="320" customFormat="1" ht="33.75" x14ac:dyDescent="0.25">
      <c r="A138" s="167" t="s">
        <v>328</v>
      </c>
      <c r="B138" s="167" t="s">
        <v>313</v>
      </c>
      <c r="C138" s="372" t="str">
        <f>'Table 3'!C138</f>
        <v>Bridge Road Community Centre
Construction of a multi-purpose community centre (Level 2) in Community Hub 6 - community rooms component</v>
      </c>
      <c r="D138" s="348">
        <v>0</v>
      </c>
      <c r="E138" s="360">
        <v>0</v>
      </c>
      <c r="F138" s="348">
        <v>0</v>
      </c>
      <c r="G138" s="360" t="s">
        <v>388</v>
      </c>
      <c r="H138" s="348">
        <v>0</v>
      </c>
      <c r="I138" s="360" t="s">
        <v>388</v>
      </c>
      <c r="J138" s="348">
        <v>0</v>
      </c>
      <c r="K138" s="162"/>
      <c r="L138" s="343" t="str">
        <f>'Table 5'!P137</f>
        <v>Constructed</v>
      </c>
      <c r="M138" s="343"/>
    </row>
    <row r="139" spans="1:13" s="11" customFormat="1" x14ac:dyDescent="0.25">
      <c r="A139" s="439" t="s">
        <v>14</v>
      </c>
      <c r="B139" s="439"/>
      <c r="C139" s="369"/>
      <c r="D139" s="440">
        <f>SUM(D117:D138)</f>
        <v>63266.056351696709</v>
      </c>
      <c r="E139" s="440">
        <f t="shared" ref="E139:J139" si="5">SUM(E117:E138)</f>
        <v>0</v>
      </c>
      <c r="F139" s="440">
        <f t="shared" si="5"/>
        <v>48592.335585245572</v>
      </c>
      <c r="G139" s="440">
        <f t="shared" si="5"/>
        <v>0</v>
      </c>
      <c r="H139" s="440">
        <f t="shared" si="5"/>
        <v>34168.349520243384</v>
      </c>
      <c r="I139" s="440">
        <f t="shared" si="5"/>
        <v>0</v>
      </c>
      <c r="J139" s="440">
        <f t="shared" si="5"/>
        <v>0</v>
      </c>
      <c r="K139" s="89"/>
      <c r="L139" s="347"/>
      <c r="M139" s="347"/>
    </row>
    <row r="140" spans="1:13" s="12" customFormat="1" x14ac:dyDescent="0.25">
      <c r="A140" s="441" t="s">
        <v>330</v>
      </c>
      <c r="B140" s="441"/>
      <c r="C140" s="441"/>
      <c r="D140" s="442"/>
      <c r="E140" s="443"/>
      <c r="F140" s="442"/>
      <c r="G140" s="443"/>
      <c r="H140" s="442"/>
      <c r="I140" s="443"/>
      <c r="J140" s="442"/>
      <c r="K140" s="472"/>
      <c r="L140" s="438"/>
      <c r="M140" s="438"/>
    </row>
    <row r="141" spans="1:13" ht="78.75" x14ac:dyDescent="0.25">
      <c r="A141" s="150" t="s">
        <v>331</v>
      </c>
      <c r="B141" s="150" t="s">
        <v>226</v>
      </c>
      <c r="C141" s="94" t="str">
        <f>'Table 3'!C141</f>
        <v>Weir Views North Sports Reserve
Construction of a sports reserve in Community Hub 1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</v>
      </c>
      <c r="D141" s="444">
        <f>'Table 4'!M141</f>
        <v>6987.510439217036</v>
      </c>
      <c r="E141" s="445">
        <v>0</v>
      </c>
      <c r="F141" s="444">
        <f>'Table 4'!M141</f>
        <v>6987.510439217036</v>
      </c>
      <c r="G141" s="445">
        <v>0</v>
      </c>
      <c r="H141" s="444">
        <v>0</v>
      </c>
      <c r="I141" s="445">
        <v>0</v>
      </c>
      <c r="J141" s="444">
        <v>0</v>
      </c>
      <c r="L141" s="196" t="str">
        <f>'Table 5'!P140</f>
        <v>Not commenced</v>
      </c>
      <c r="M141" s="196"/>
    </row>
    <row r="142" spans="1:13" ht="33.75" x14ac:dyDescent="0.25">
      <c r="A142" s="150" t="s">
        <v>334</v>
      </c>
      <c r="B142" s="150" t="s">
        <v>313</v>
      </c>
      <c r="C142" s="94" t="str">
        <f>'Table 3'!C142</f>
        <v>Weir Views North Sports Reserve Pavilion 
Construction of a pavilion in Community Hub 1, including all building works, landscaping, and related infrastructure</v>
      </c>
      <c r="D142" s="444">
        <v>0</v>
      </c>
      <c r="E142" s="445" t="s">
        <v>388</v>
      </c>
      <c r="F142" s="444">
        <v>0</v>
      </c>
      <c r="G142" s="445" t="s">
        <v>388</v>
      </c>
      <c r="H142" s="444">
        <v>0</v>
      </c>
      <c r="I142" s="445">
        <v>0</v>
      </c>
      <c r="J142" s="444">
        <v>0</v>
      </c>
      <c r="L142" s="196" t="str">
        <f>'Table 5'!P141</f>
        <v>Not commenced</v>
      </c>
      <c r="M142" s="196"/>
    </row>
    <row r="143" spans="1:13" ht="56.25" x14ac:dyDescent="0.25">
      <c r="A143" s="150" t="s">
        <v>336</v>
      </c>
      <c r="B143" s="150" t="s">
        <v>226</v>
      </c>
      <c r="C143" s="94" t="str">
        <f>'Table 3'!C143</f>
        <v>Weir Views East Sports Reserve
Construction of a sports reserve incorporating:
- Playing surfaces and car parks, including all construction works, landscaping, and related infrastructure
- Playground including play space, youth space, picnic facilities, and BBQ</v>
      </c>
      <c r="D143" s="444">
        <f>'Table 4'!M143</f>
        <v>7732.1962663381673</v>
      </c>
      <c r="E143" s="445">
        <v>0</v>
      </c>
      <c r="F143" s="444">
        <f>'Table 4'!M143</f>
        <v>7732.1962663381673</v>
      </c>
      <c r="G143" s="445">
        <v>0</v>
      </c>
      <c r="H143" s="444">
        <v>0</v>
      </c>
      <c r="I143" s="445">
        <v>0</v>
      </c>
      <c r="J143" s="444">
        <v>0</v>
      </c>
      <c r="L143" s="196" t="str">
        <f>'Table 5'!P142</f>
        <v>Not commenced</v>
      </c>
      <c r="M143" s="196"/>
    </row>
    <row r="144" spans="1:13" ht="33.75" x14ac:dyDescent="0.25">
      <c r="A144" s="150" t="s">
        <v>337</v>
      </c>
      <c r="B144" s="150" t="s">
        <v>313</v>
      </c>
      <c r="C144" s="94" t="str">
        <f>'Table 3'!C144</f>
        <v>Weir Views East Sports Reserve Pavilion
Construction of a pavilion, including all building works, landscaping, and related infrastructure</v>
      </c>
      <c r="D144" s="444">
        <v>0</v>
      </c>
      <c r="E144" s="445" t="s">
        <v>388</v>
      </c>
      <c r="F144" s="444">
        <v>0</v>
      </c>
      <c r="G144" s="445" t="s">
        <v>388</v>
      </c>
      <c r="H144" s="444">
        <v>0</v>
      </c>
      <c r="I144" s="445">
        <v>0</v>
      </c>
      <c r="J144" s="444">
        <v>0</v>
      </c>
      <c r="L144" s="196" t="str">
        <f>'Table 5'!P143</f>
        <v>Not commenced</v>
      </c>
      <c r="M144" s="196"/>
    </row>
    <row r="145" spans="1:13" ht="56.25" x14ac:dyDescent="0.25">
      <c r="A145" s="150" t="s">
        <v>338</v>
      </c>
      <c r="B145" s="150" t="s">
        <v>226</v>
      </c>
      <c r="C145" s="94" t="str">
        <f>'Table 3'!C145</f>
        <v>Weir Views South Sports Reserve
Construction of a sports reserve in Community Hub 2 incorporating:
- Playing surfaces and car parks, including all construction works, landscaping, and related infrastructure
- Playground including play space, youth space, picnic facilities, and BBQ</v>
      </c>
      <c r="D145" s="444">
        <f>'Table 4'!M145</f>
        <v>9982.157770310052</v>
      </c>
      <c r="E145" s="445">
        <v>0</v>
      </c>
      <c r="F145" s="444">
        <f>'Table 4'!M145</f>
        <v>9982.157770310052</v>
      </c>
      <c r="G145" s="445">
        <v>0</v>
      </c>
      <c r="H145" s="444">
        <v>0</v>
      </c>
      <c r="I145" s="445">
        <v>0</v>
      </c>
      <c r="J145" s="444">
        <v>0</v>
      </c>
      <c r="L145" s="196" t="str">
        <f>'Table 5'!P144</f>
        <v>Not commenced</v>
      </c>
      <c r="M145" s="196"/>
    </row>
    <row r="146" spans="1:13" ht="33.75" x14ac:dyDescent="0.25">
      <c r="A146" s="150" t="s">
        <v>339</v>
      </c>
      <c r="B146" s="150" t="s">
        <v>313</v>
      </c>
      <c r="C146" s="94" t="str">
        <f>'Table 3'!C146</f>
        <v>Weir Views South Sports Reserve
Construction of a pavilion in Community Hub 2, including all building works, landscaping, and related infrastructure</v>
      </c>
      <c r="D146" s="444">
        <v>0</v>
      </c>
      <c r="E146" s="445" t="s">
        <v>388</v>
      </c>
      <c r="F146" s="444">
        <v>0</v>
      </c>
      <c r="G146" s="445" t="s">
        <v>388</v>
      </c>
      <c r="H146" s="444">
        <v>0</v>
      </c>
      <c r="I146" s="445">
        <v>0</v>
      </c>
      <c r="J146" s="444">
        <v>0</v>
      </c>
      <c r="L146" s="196" t="str">
        <f>'Table 5'!P145</f>
        <v>Not commenced</v>
      </c>
      <c r="M146" s="196"/>
    </row>
    <row r="147" spans="1:13" ht="56.25" x14ac:dyDescent="0.25">
      <c r="A147" s="150" t="s">
        <v>340</v>
      </c>
      <c r="B147" s="150" t="s">
        <v>226</v>
      </c>
      <c r="C147" s="94" t="str">
        <f>'Table 3'!C147</f>
        <v>Strathtulloh Sports Reserve
Construction of a sports reserve in Community Hub 3 incorporating:
- Playing surfaces and car parks, including all construction works, landscaping, and related infrastructure
- Playground including play space, youth space, picnic facilities, and BBQ</v>
      </c>
      <c r="D147" s="444">
        <f>'Table 4'!M147</f>
        <v>9982.157770310052</v>
      </c>
      <c r="E147" s="445">
        <v>0</v>
      </c>
      <c r="F147" s="444">
        <f>'Table 4'!M147</f>
        <v>9982.157770310052</v>
      </c>
      <c r="G147" s="445">
        <v>0</v>
      </c>
      <c r="H147" s="444">
        <v>0</v>
      </c>
      <c r="I147" s="445">
        <v>0</v>
      </c>
      <c r="J147" s="444">
        <v>0</v>
      </c>
      <c r="L147" s="196" t="str">
        <f>'Table 5'!P146</f>
        <v>Not commenced</v>
      </c>
      <c r="M147" s="196"/>
    </row>
    <row r="148" spans="1:13" ht="33.75" x14ac:dyDescent="0.25">
      <c r="A148" s="150" t="s">
        <v>341</v>
      </c>
      <c r="B148" s="150" t="s">
        <v>313</v>
      </c>
      <c r="C148" s="94" t="str">
        <f>'Table 3'!C148</f>
        <v>Strathtulloh Sports Reserve Pavilion
Construction of a pavilion in Community Hub 3, including all building works, landscaping, and related infrastructure</v>
      </c>
      <c r="D148" s="444">
        <v>0</v>
      </c>
      <c r="E148" s="445" t="s">
        <v>388</v>
      </c>
      <c r="F148" s="444">
        <v>0</v>
      </c>
      <c r="G148" s="445" t="s">
        <v>388</v>
      </c>
      <c r="H148" s="444">
        <v>0</v>
      </c>
      <c r="I148" s="445">
        <v>0</v>
      </c>
      <c r="J148" s="444">
        <v>0</v>
      </c>
      <c r="L148" s="196" t="str">
        <f>'Table 5'!P147</f>
        <v>Not commenced</v>
      </c>
      <c r="M148" s="196"/>
    </row>
    <row r="149" spans="1:13" ht="78.75" x14ac:dyDescent="0.25">
      <c r="A149" s="150" t="s">
        <v>342</v>
      </c>
      <c r="B149" s="150" t="s">
        <v>226</v>
      </c>
      <c r="C149" s="94" t="str">
        <f>'Table 3'!C149</f>
        <v>Thornhill Park Sports Reserve
Construction of a sports reserve in Community Hub 4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</v>
      </c>
      <c r="D149" s="444">
        <f>'Table 4'!M149</f>
        <v>9982.157770310052</v>
      </c>
      <c r="E149" s="445">
        <v>0</v>
      </c>
      <c r="F149" s="444">
        <f>'Table 4'!M149</f>
        <v>9982.157770310052</v>
      </c>
      <c r="G149" s="445">
        <v>0</v>
      </c>
      <c r="H149" s="444">
        <v>0</v>
      </c>
      <c r="I149" s="445">
        <v>0</v>
      </c>
      <c r="J149" s="444">
        <v>0</v>
      </c>
      <c r="L149" s="196" t="str">
        <f>'Table 5'!P148</f>
        <v>Not commenced</v>
      </c>
      <c r="M149" s="196"/>
    </row>
    <row r="150" spans="1:13" ht="33.75" x14ac:dyDescent="0.25">
      <c r="A150" s="150" t="s">
        <v>343</v>
      </c>
      <c r="B150" s="150" t="s">
        <v>313</v>
      </c>
      <c r="C150" s="94" t="str">
        <f>'Table 3'!C150</f>
        <v>Thornhill Park Sports Reserve Pavilion
Construction of a pavilion in Community Hub 4, including all building works, landscaping, and related infrastructure</v>
      </c>
      <c r="D150" s="444">
        <v>0</v>
      </c>
      <c r="E150" s="445" t="s">
        <v>388</v>
      </c>
      <c r="F150" s="444">
        <v>0</v>
      </c>
      <c r="G150" s="445" t="s">
        <v>388</v>
      </c>
      <c r="H150" s="444">
        <v>0</v>
      </c>
      <c r="I150" s="445">
        <v>0</v>
      </c>
      <c r="J150" s="444">
        <v>0</v>
      </c>
      <c r="L150" s="196" t="str">
        <f>'Table 5'!P149</f>
        <v>Not commenced</v>
      </c>
      <c r="M150" s="196"/>
    </row>
    <row r="151" spans="1:13" ht="56.25" x14ac:dyDescent="0.25">
      <c r="A151" s="150" t="s">
        <v>344</v>
      </c>
      <c r="B151" s="150" t="s">
        <v>226</v>
      </c>
      <c r="C151" s="94" t="str">
        <f>'Table 3'!C151</f>
        <v>Cobblebank East Sports Reserve
Construction of a sports reserve in Community Hub 5 incorporating:
- Playing surfaces and car parks, including all construction works, landscaping, and related infrastructure
- Playground including play space, youth space, picnic facilities, and BBQ</v>
      </c>
      <c r="D151" s="444">
        <f>'Table 4'!M151</f>
        <v>7732.1962663381673</v>
      </c>
      <c r="E151" s="445">
        <v>0</v>
      </c>
      <c r="F151" s="444">
        <f>'Table 4'!M151</f>
        <v>7732.1962663381673</v>
      </c>
      <c r="G151" s="445">
        <v>0</v>
      </c>
      <c r="H151" s="444">
        <v>0</v>
      </c>
      <c r="I151" s="445">
        <v>0</v>
      </c>
      <c r="J151" s="444">
        <v>0</v>
      </c>
      <c r="L151" s="196" t="str">
        <f>'Table 5'!P150</f>
        <v>Not commenced</v>
      </c>
      <c r="M151" s="196"/>
    </row>
    <row r="152" spans="1:13" ht="33.75" x14ac:dyDescent="0.25">
      <c r="A152" s="150" t="s">
        <v>345</v>
      </c>
      <c r="B152" s="150" t="s">
        <v>313</v>
      </c>
      <c r="C152" s="94" t="str">
        <f>'Table 3'!C152</f>
        <v>Cobblebank East Sports Reserve Pavilion
Construction of a pavilion in Community Hub 5, including all building works, landscaping, and related infrastructure</v>
      </c>
      <c r="D152" s="444">
        <v>0</v>
      </c>
      <c r="E152" s="445" t="s">
        <v>388</v>
      </c>
      <c r="F152" s="444">
        <v>0</v>
      </c>
      <c r="G152" s="445" t="s">
        <v>388</v>
      </c>
      <c r="H152" s="444">
        <v>0</v>
      </c>
      <c r="I152" s="445">
        <v>0</v>
      </c>
      <c r="J152" s="444">
        <v>0</v>
      </c>
      <c r="L152" s="196" t="str">
        <f>'Table 5'!P151</f>
        <v>Not commenced</v>
      </c>
      <c r="M152" s="196"/>
    </row>
    <row r="153" spans="1:13" ht="56.25" x14ac:dyDescent="0.25">
      <c r="A153" s="150" t="s">
        <v>346</v>
      </c>
      <c r="B153" s="150" t="s">
        <v>226</v>
      </c>
      <c r="C153" s="94" t="str">
        <f>'Table 3'!C153</f>
        <v>Cobblebank Central Sports Reserve
Construction of a sports reserve in Community Hub 7 incorporating:
- Playing surfaces and car parks, including all construction works, landscaping, and related infrastructure
- Playground including play space, youth space, picnic facilities, and BBQ</v>
      </c>
      <c r="D153" s="444">
        <f>'Table 4'!M153</f>
        <v>9982.157770310052</v>
      </c>
      <c r="E153" s="445">
        <v>0</v>
      </c>
      <c r="F153" s="444">
        <f>'Table 4'!M153</f>
        <v>9982.157770310052</v>
      </c>
      <c r="G153" s="445">
        <v>0</v>
      </c>
      <c r="H153" s="444">
        <v>0</v>
      </c>
      <c r="I153" s="445">
        <v>0</v>
      </c>
      <c r="J153" s="444">
        <v>0</v>
      </c>
      <c r="L153" s="196" t="str">
        <f>'Table 5'!P152</f>
        <v>Not commenced</v>
      </c>
      <c r="M153" s="196"/>
    </row>
    <row r="154" spans="1:13" ht="33.75" x14ac:dyDescent="0.25">
      <c r="A154" s="150" t="s">
        <v>347</v>
      </c>
      <c r="B154" s="150" t="s">
        <v>313</v>
      </c>
      <c r="C154" s="94" t="str">
        <f>'Table 3'!C154</f>
        <v>Cobblebank Central Sports Reserve Pavilion
Construction of a pavilion in Community Hub 7, including all building works, landscaping and related infrastructure</v>
      </c>
      <c r="D154" s="444">
        <v>0</v>
      </c>
      <c r="E154" s="445" t="s">
        <v>388</v>
      </c>
      <c r="F154" s="444">
        <v>0</v>
      </c>
      <c r="G154" s="445" t="s">
        <v>388</v>
      </c>
      <c r="H154" s="444">
        <v>0</v>
      </c>
      <c r="I154" s="445">
        <v>0</v>
      </c>
      <c r="J154" s="444">
        <v>0</v>
      </c>
      <c r="L154" s="196" t="str">
        <f>'Table 5'!P153</f>
        <v>Not commenced</v>
      </c>
      <c r="M154" s="196"/>
    </row>
    <row r="155" spans="1:13" s="320" customFormat="1" ht="90" x14ac:dyDescent="0.25">
      <c r="A155" s="167" t="s">
        <v>348</v>
      </c>
      <c r="B155" s="167" t="s">
        <v>226</v>
      </c>
      <c r="C155" s="372" t="str">
        <f>'Table 3'!C155</f>
        <v>Bridge Road Sports Reserve
Construction of a sports reserve in Community Hub 6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
Area 2 Contribution (60%)</v>
      </c>
      <c r="D155" s="348">
        <v>0</v>
      </c>
      <c r="E155" s="360">
        <v>0</v>
      </c>
      <c r="F155" s="348">
        <f>'Table 4'!M155</f>
        <v>2889.2153784218999</v>
      </c>
      <c r="G155" s="360">
        <v>0</v>
      </c>
      <c r="H155" s="348">
        <v>0</v>
      </c>
      <c r="I155" s="360">
        <v>0</v>
      </c>
      <c r="J155" s="348">
        <v>0</v>
      </c>
      <c r="K155" s="162"/>
      <c r="L155" s="343" t="str">
        <f>'Table 5'!P154</f>
        <v>Constructed</v>
      </c>
      <c r="M155" s="343"/>
    </row>
    <row r="156" spans="1:13" s="320" customFormat="1" ht="90" x14ac:dyDescent="0.25">
      <c r="A156" s="167" t="s">
        <v>349</v>
      </c>
      <c r="B156" s="167" t="s">
        <v>226</v>
      </c>
      <c r="C156" s="372" t="str">
        <f>'Table 3'!C156</f>
        <v>Bridge Road Sports Reserve
Construction of a sports reserve in Community Hub 6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
Area 3 Contribution (40%)</v>
      </c>
      <c r="D156" s="348">
        <v>0</v>
      </c>
      <c r="E156" s="360">
        <v>0</v>
      </c>
      <c r="F156" s="348">
        <v>0</v>
      </c>
      <c r="G156" s="360">
        <v>0</v>
      </c>
      <c r="H156" s="348">
        <f>'Table 4'!M156</f>
        <v>17915.434238240112</v>
      </c>
      <c r="I156" s="360">
        <v>0</v>
      </c>
      <c r="J156" s="348">
        <v>0</v>
      </c>
      <c r="K156" s="162"/>
      <c r="L156" s="343" t="str">
        <f>'Table 5'!P155</f>
        <v>Constructed</v>
      </c>
      <c r="M156" s="343"/>
    </row>
    <row r="157" spans="1:13" s="320" customFormat="1" ht="33.75" x14ac:dyDescent="0.25">
      <c r="A157" s="167" t="s">
        <v>350</v>
      </c>
      <c r="B157" s="167" t="s">
        <v>313</v>
      </c>
      <c r="C157" s="372" t="str">
        <f>'Table 3'!C157</f>
        <v>Bridge Road Sports Reserve Pavilion
Construction of a pavilion in Community Hub 6, including all building works, landscaping, and related infrastructure</v>
      </c>
      <c r="D157" s="348">
        <v>0</v>
      </c>
      <c r="E157" s="360">
        <v>0</v>
      </c>
      <c r="F157" s="348">
        <v>0</v>
      </c>
      <c r="G157" s="360" t="s">
        <v>388</v>
      </c>
      <c r="H157" s="348">
        <v>0</v>
      </c>
      <c r="I157" s="360" t="s">
        <v>388</v>
      </c>
      <c r="J157" s="348">
        <v>0</v>
      </c>
      <c r="K157" s="162"/>
      <c r="L157" s="343" t="str">
        <f>'Table 5'!P156</f>
        <v>Constructed</v>
      </c>
      <c r="M157" s="343"/>
    </row>
    <row r="158" spans="1:13" s="11" customFormat="1" x14ac:dyDescent="0.25">
      <c r="A158" s="439" t="s">
        <v>14</v>
      </c>
      <c r="B158" s="439"/>
      <c r="C158" s="369"/>
      <c r="D158" s="440">
        <f>SUM(D141:D157)</f>
        <v>62380.534053133582</v>
      </c>
      <c r="E158" s="440">
        <f t="shared" ref="E158:J158" si="6">SUM(E141:E157)</f>
        <v>0</v>
      </c>
      <c r="F158" s="440">
        <f t="shared" si="6"/>
        <v>65269.74943155548</v>
      </c>
      <c r="G158" s="440">
        <f t="shared" si="6"/>
        <v>0</v>
      </c>
      <c r="H158" s="440">
        <f t="shared" si="6"/>
        <v>17915.434238240112</v>
      </c>
      <c r="I158" s="440">
        <f t="shared" si="6"/>
        <v>0</v>
      </c>
      <c r="J158" s="440">
        <f t="shared" si="6"/>
        <v>0</v>
      </c>
      <c r="K158" s="89"/>
      <c r="L158" s="347"/>
      <c r="M158" s="347"/>
    </row>
    <row r="159" spans="1:13" s="12" customFormat="1" x14ac:dyDescent="0.25">
      <c r="A159" s="441" t="s">
        <v>351</v>
      </c>
      <c r="B159" s="441"/>
      <c r="C159" s="441"/>
      <c r="D159" s="442"/>
      <c r="E159" s="443"/>
      <c r="F159" s="442"/>
      <c r="G159" s="443"/>
      <c r="H159" s="442"/>
      <c r="I159" s="443"/>
      <c r="J159" s="442"/>
      <c r="K159" s="472"/>
      <c r="L159" s="438"/>
      <c r="M159" s="438"/>
    </row>
    <row r="160" spans="1:13" s="320" customFormat="1" ht="33.75" x14ac:dyDescent="0.25">
      <c r="A160" s="167" t="s">
        <v>352</v>
      </c>
      <c r="B160" s="167" t="s">
        <v>226</v>
      </c>
      <c r="C160" s="372" t="str">
        <f>'Table 3'!C160</f>
        <v>Toolern Creek Regional Park Trail
Concrete Shared Path including pavement, drainage, and landscaping (3 metres wide, length 3,250 metres)</v>
      </c>
      <c r="D160" s="348">
        <f>'Table 4'!M160</f>
        <v>770.48005414176066</v>
      </c>
      <c r="E160" s="360">
        <v>0</v>
      </c>
      <c r="F160" s="348">
        <f>D160</f>
        <v>770.48005414176066</v>
      </c>
      <c r="G160" s="360">
        <v>0</v>
      </c>
      <c r="H160" s="348">
        <f>D160</f>
        <v>770.48005414176066</v>
      </c>
      <c r="I160" s="360">
        <v>0</v>
      </c>
      <c r="J160" s="348">
        <v>0</v>
      </c>
      <c r="K160" s="162" t="s">
        <v>403</v>
      </c>
      <c r="L160" s="343" t="str">
        <f>'Table 5'!P159</f>
        <v>Constructed</v>
      </c>
      <c r="M160" s="358"/>
    </row>
    <row r="161" spans="1:13" s="11" customFormat="1" x14ac:dyDescent="0.25">
      <c r="A161" s="439" t="s">
        <v>14</v>
      </c>
      <c r="B161" s="439"/>
      <c r="C161" s="369"/>
      <c r="D161" s="440">
        <f>D160</f>
        <v>770.48005414176066</v>
      </c>
      <c r="E161" s="440">
        <f t="shared" ref="E161:J161" si="7">E160</f>
        <v>0</v>
      </c>
      <c r="F161" s="440">
        <f t="shared" si="7"/>
        <v>770.48005414176066</v>
      </c>
      <c r="G161" s="440">
        <f t="shared" si="7"/>
        <v>0</v>
      </c>
      <c r="H161" s="440">
        <f t="shared" si="7"/>
        <v>770.48005414176066</v>
      </c>
      <c r="I161" s="440">
        <f t="shared" si="7"/>
        <v>0</v>
      </c>
      <c r="J161" s="440">
        <f t="shared" si="7"/>
        <v>0</v>
      </c>
      <c r="K161" s="89"/>
      <c r="L161" s="347"/>
      <c r="M161" s="347"/>
    </row>
    <row r="162" spans="1:13" s="12" customFormat="1" x14ac:dyDescent="0.25">
      <c r="A162" s="441" t="s">
        <v>355</v>
      </c>
      <c r="B162" s="441"/>
      <c r="C162" s="441"/>
      <c r="D162" s="442"/>
      <c r="E162" s="443"/>
      <c r="F162" s="442"/>
      <c r="G162" s="443"/>
      <c r="H162" s="442"/>
      <c r="I162" s="443"/>
      <c r="J162" s="442"/>
      <c r="K162" s="472"/>
      <c r="L162" s="438"/>
      <c r="M162" s="438"/>
    </row>
    <row r="163" spans="1:13" s="320" customFormat="1" ht="22.5" x14ac:dyDescent="0.25">
      <c r="A163" s="167" t="s">
        <v>356</v>
      </c>
      <c r="B163" s="167" t="s">
        <v>226</v>
      </c>
      <c r="C163" s="372" t="str">
        <f>'Table 3'!C163</f>
        <v xml:space="preserve">Plan Preparation
Preparation of Precinct Structure Plan and Development Contributions Plan. </v>
      </c>
      <c r="D163" s="348">
        <f>'Table 4'!M163</f>
        <v>1091.6598984111292</v>
      </c>
      <c r="E163" s="360">
        <v>0</v>
      </c>
      <c r="F163" s="348">
        <f>D163</f>
        <v>1091.6598984111292</v>
      </c>
      <c r="G163" s="360">
        <v>0</v>
      </c>
      <c r="H163" s="348">
        <f>D163</f>
        <v>1091.6598984111292</v>
      </c>
      <c r="I163" s="360">
        <v>0</v>
      </c>
      <c r="J163" s="348">
        <f>D163</f>
        <v>1091.6598984111292</v>
      </c>
      <c r="K163" s="162"/>
      <c r="L163" s="343" t="str">
        <f>'Table 5'!P162</f>
        <v>Prepared</v>
      </c>
      <c r="M163" s="343"/>
    </row>
    <row r="164" spans="1:13" s="11" customFormat="1" x14ac:dyDescent="0.25">
      <c r="A164" s="439" t="s">
        <v>14</v>
      </c>
      <c r="B164" s="439"/>
      <c r="C164" s="369"/>
      <c r="D164" s="440">
        <f>D163</f>
        <v>1091.6598984111292</v>
      </c>
      <c r="E164" s="440">
        <f t="shared" ref="E164:J164" si="8">E163</f>
        <v>0</v>
      </c>
      <c r="F164" s="440">
        <f t="shared" si="8"/>
        <v>1091.6598984111292</v>
      </c>
      <c r="G164" s="440">
        <f t="shared" si="8"/>
        <v>0</v>
      </c>
      <c r="H164" s="440">
        <f t="shared" si="8"/>
        <v>1091.6598984111292</v>
      </c>
      <c r="I164" s="440">
        <f t="shared" si="8"/>
        <v>0</v>
      </c>
      <c r="J164" s="440">
        <f t="shared" si="8"/>
        <v>1091.6598984111292</v>
      </c>
      <c r="K164" s="89"/>
      <c r="L164" s="347"/>
      <c r="M164" s="347"/>
    </row>
    <row r="165" spans="1:13" s="13" customFormat="1" x14ac:dyDescent="0.25">
      <c r="A165" s="451" t="s">
        <v>213</v>
      </c>
      <c r="B165" s="451"/>
      <c r="C165" s="370"/>
      <c r="D165" s="452">
        <f>D164+D161+D158+D139+D115+D104+D101+D78+D44</f>
        <v>439562.80312613421</v>
      </c>
      <c r="E165" s="452">
        <f t="shared" ref="E165:J165" si="9">E164+E161+E158+E139+E115+E104+E101+E78+E44</f>
        <v>0</v>
      </c>
      <c r="F165" s="452">
        <f t="shared" si="9"/>
        <v>441987.98976709053</v>
      </c>
      <c r="G165" s="452">
        <f t="shared" si="9"/>
        <v>0</v>
      </c>
      <c r="H165" s="452">
        <f t="shared" si="9"/>
        <v>369528.82643775921</v>
      </c>
      <c r="I165" s="452">
        <f t="shared" si="9"/>
        <v>0</v>
      </c>
      <c r="J165" s="452">
        <f t="shared" si="9"/>
        <v>228563.16548027081</v>
      </c>
      <c r="K165" s="472"/>
      <c r="L165" s="453"/>
      <c r="M165" s="454"/>
    </row>
    <row r="168" spans="1:13" x14ac:dyDescent="0.25">
      <c r="A168" s="90" t="s">
        <v>357</v>
      </c>
    </row>
    <row r="169" spans="1:13" x14ac:dyDescent="0.25">
      <c r="A169" s="90" t="s">
        <v>358</v>
      </c>
    </row>
    <row r="170" spans="1:13" x14ac:dyDescent="0.25">
      <c r="A170" s="90" t="s">
        <v>359</v>
      </c>
    </row>
    <row r="172" spans="1:13" x14ac:dyDescent="0.25">
      <c r="E172" s="455"/>
      <c r="G172" s="455"/>
      <c r="I172" s="455"/>
    </row>
    <row r="173" spans="1:13" x14ac:dyDescent="0.25">
      <c r="C173" s="100" t="s">
        <v>870</v>
      </c>
      <c r="D173" s="455">
        <f>(SUM(D6:D43))+(SUM(D46:D77))+(SUM(D80:D100))</f>
        <v>223569.24422140128</v>
      </c>
      <c r="E173" s="455"/>
      <c r="F173" s="455">
        <f>(SUM(F6:F43))+(SUM(F46:F77))+(SUM(F80:F100))</f>
        <v>223569.24422140128</v>
      </c>
      <c r="G173" s="455"/>
      <c r="H173" s="455">
        <f>(SUM(H6:H43))+(SUM(H46:H77))+(SUM(H80:H100))</f>
        <v>223569.24422140128</v>
      </c>
      <c r="I173" s="455"/>
      <c r="J173" s="455">
        <f>(SUM(J6:J43))+(SUM(J46:J77))+(SUM(J80:J100))</f>
        <v>223569.24422140128</v>
      </c>
    </row>
    <row r="174" spans="1:13" x14ac:dyDescent="0.25">
      <c r="C174" s="100" t="s">
        <v>871</v>
      </c>
      <c r="D174" s="455">
        <f>D115+D139+D158</f>
        <v>211985.17520392797</v>
      </c>
      <c r="E174" s="455"/>
      <c r="F174" s="455">
        <f t="shared" ref="F174:J174" si="10">F115+F139+F158</f>
        <v>214410.36184488423</v>
      </c>
      <c r="G174" s="455"/>
      <c r="H174" s="455">
        <f t="shared" si="10"/>
        <v>141951.19851555285</v>
      </c>
      <c r="I174" s="455"/>
      <c r="J174" s="455">
        <f t="shared" si="10"/>
        <v>1756.0176122062735</v>
      </c>
    </row>
    <row r="175" spans="1:13" x14ac:dyDescent="0.25">
      <c r="E175" s="455"/>
      <c r="G175" s="455"/>
    </row>
    <row r="176" spans="1:13" x14ac:dyDescent="0.25">
      <c r="E176" s="455"/>
      <c r="G176" s="455"/>
      <c r="I176" s="455"/>
    </row>
    <row r="178" spans="5:9" x14ac:dyDescent="0.25">
      <c r="E178" s="455"/>
      <c r="G178" s="455"/>
      <c r="I178" s="455"/>
    </row>
  </sheetData>
  <sheetProtection algorithmName="SHA-512" hashValue="4Uu/23Yf8GNDKp6H94r6bWQKGX9y43HIugMZM3X0iqPMFmgPg6itmp6igbELrsujZaF2bI/NTULE7S9oXJZwVg==" saltValue="C6ldG/GD/bKlSR5hih76Ig==" spinCount="100000" sheet="1" objects="1" scenarios="1"/>
  <mergeCells count="3"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03"/>
  <sheetViews>
    <sheetView workbookViewId="0">
      <selection sqref="A1:XFD1048576"/>
    </sheetView>
  </sheetViews>
  <sheetFormatPr defaultColWidth="9.140625" defaultRowHeight="11.25" x14ac:dyDescent="0.25"/>
  <cols>
    <col min="1" max="1" width="9.140625" style="90"/>
    <col min="2" max="2" width="105.7109375" style="90" customWidth="1"/>
    <col min="3" max="3" width="3.7109375" style="95" customWidth="1"/>
    <col min="4" max="4" width="36.7109375" style="235" customWidth="1"/>
    <col min="5" max="16384" width="9.140625" style="8"/>
  </cols>
  <sheetData>
    <row r="1" spans="1:4" x14ac:dyDescent="0.25">
      <c r="A1" s="367" t="s">
        <v>420</v>
      </c>
      <c r="B1" s="100"/>
    </row>
    <row r="2" spans="1:4" x14ac:dyDescent="0.25">
      <c r="B2" s="100"/>
    </row>
    <row r="3" spans="1:4" ht="22.5" x14ac:dyDescent="0.25">
      <c r="A3" s="457" t="s">
        <v>211</v>
      </c>
      <c r="B3" s="458" t="s">
        <v>421</v>
      </c>
      <c r="D3" s="240" t="s">
        <v>780</v>
      </c>
    </row>
    <row r="4" spans="1:4" x14ac:dyDescent="0.25">
      <c r="A4" s="490" t="s">
        <v>528</v>
      </c>
      <c r="B4" s="491"/>
      <c r="D4" s="196"/>
    </row>
    <row r="5" spans="1:4" s="46" customFormat="1" ht="33.75" x14ac:dyDescent="0.25">
      <c r="A5" s="16" t="s">
        <v>218</v>
      </c>
      <c r="B5" s="373" t="str">
        <f>'Table 6'!C6</f>
        <v>Rees Road: Coburns Road (PSP boundary) to East West Arterial (IT01) 
Construction of a 2-lane arterial road (interim layout). 
Purchase of land to increase reserve width from 20m to 34m (ultimate).</v>
      </c>
      <c r="C5" s="95"/>
      <c r="D5" s="208" t="str">
        <f>'1.4.3 Transport'!D3</f>
        <v>Land partially acquired
Road constructed</v>
      </c>
    </row>
    <row r="6" spans="1:4" s="46" customFormat="1" ht="33.75" x14ac:dyDescent="0.25">
      <c r="A6" s="16" t="s">
        <v>224</v>
      </c>
      <c r="B6" s="373" t="str">
        <f>'Table 6'!C8</f>
        <v xml:space="preserve">East West Arterial: Rees Road (IT01) to Exford Road (IT02)
Construction of a 2-lane arterial road (interim standard) 
Purchase of land to increase reserve width from 0m to 34m (ultimate). </v>
      </c>
      <c r="C6" s="95"/>
      <c r="D6" s="208" t="str">
        <f>'1.4.3 Transport'!D4</f>
        <v>Land acquired</v>
      </c>
    </row>
    <row r="7" spans="1:4" s="46" customFormat="1" ht="33.75" x14ac:dyDescent="0.25">
      <c r="A7" s="16" t="s">
        <v>422</v>
      </c>
      <c r="B7" s="373" t="str">
        <f>'Table 6'!C9</f>
        <v xml:space="preserve">Exford Road: East West Arterial (IT02) to Exford Road (IT03)
Re-construct existing 2-lane road to provide 2-lane arterial road (interim layout). 
Purchase land to increase reserve width from 20m to 34m (ultimate). </v>
      </c>
      <c r="C7" s="95"/>
      <c r="D7" s="208" t="str">
        <f>'1.4.3 Transport'!D5</f>
        <v>Land partially acquired
Road partially constructed</v>
      </c>
    </row>
    <row r="8" spans="1:4" s="46" customFormat="1" ht="33.75" x14ac:dyDescent="0.25">
      <c r="A8" s="16" t="s">
        <v>423</v>
      </c>
      <c r="B8" s="373" t="str">
        <f>'Table 6'!C11</f>
        <v xml:space="preserve">Exford Road: Exford Road (IT03) to Greigs Road (IT04)
Construction of a 2-lane arterial road (interim layout). 
Purchase land to increase reserve width from 20m to 34m (ultimate).  </v>
      </c>
      <c r="C8" s="95"/>
      <c r="D8" s="208" t="str">
        <f>'1.4.3 Transport'!D6</f>
        <v>Land partially acquired
Road partially constructed</v>
      </c>
    </row>
    <row r="9" spans="1:4" s="46" customFormat="1" ht="33.75" x14ac:dyDescent="0.25">
      <c r="A9" s="16" t="s">
        <v>424</v>
      </c>
      <c r="B9" s="373" t="str">
        <f>'Table 6'!C13</f>
        <v xml:space="preserve">Exford Road: Exford Road (IT03) to Toolern Creek (BD03)
Construction of a 2-lane arterial road (interim layout). 
Purchase land to increase reserve width from 0m to 34m (ultimate). </v>
      </c>
      <c r="C9" s="95"/>
      <c r="D9" s="208" t="str">
        <f>'1.4.3 Transport'!D7</f>
        <v>Land partially acquired</v>
      </c>
    </row>
    <row r="10" spans="1:4" s="46" customFormat="1" ht="33.75" x14ac:dyDescent="0.25">
      <c r="A10" s="16" t="s">
        <v>425</v>
      </c>
      <c r="B10" s="373" t="str">
        <f>'Table 6'!C15</f>
        <v xml:space="preserve">Exford Road: Toolern Creek (BD03) to Ferris Road (IT05)
Construction of a 2-lane arterial road (interim layout). 
Create road reserve 34m (ultimate).  </v>
      </c>
      <c r="C10" s="95"/>
      <c r="D10" s="208" t="str">
        <f>'1.4.3 Transport'!D8</f>
        <v>Not commenced</v>
      </c>
    </row>
    <row r="11" spans="1:4" s="46" customFormat="1" ht="33.75" x14ac:dyDescent="0.25">
      <c r="A11" s="16" t="s">
        <v>426</v>
      </c>
      <c r="B11" s="373" t="str">
        <f>'Table 6'!C17</f>
        <v xml:space="preserve">Exford Road: Ferris Road (IT05) to Mount Cottrell Road (IT06) 
Construction of a 2-lane arterial road. (interim layout).
Purchase land to increase reserve width from 0m to 34m (ultimate). </v>
      </c>
      <c r="C11" s="95"/>
      <c r="D11" s="208" t="str">
        <f>'1.4.3 Transport'!D9</f>
        <v>Not commenced</v>
      </c>
    </row>
    <row r="12" spans="1:4" s="46" customFormat="1" ht="33.75" x14ac:dyDescent="0.25">
      <c r="A12" s="16" t="s">
        <v>427</v>
      </c>
      <c r="B12" s="373" t="str">
        <f>'Table 6'!C19</f>
        <v xml:space="preserve">Exford Road: Mount Cottrell Road (IT06) to Paynes Road (IT07)
Construction of a 2-lane arterial road (interim layout). 
Purchase land to increase reserve width to 0m to 45m (ultimate).  </v>
      </c>
      <c r="C12" s="95"/>
      <c r="D12" s="208" t="str">
        <f>'1.4.3 Transport'!D10</f>
        <v>Not commenced</v>
      </c>
    </row>
    <row r="13" spans="1:4" s="46" customFormat="1" ht="22.5" x14ac:dyDescent="0.25">
      <c r="A13" s="16" t="s">
        <v>428</v>
      </c>
      <c r="B13" s="373" t="str">
        <f>'Table 6'!C21</f>
        <v>Removed</v>
      </c>
      <c r="C13" s="95"/>
      <c r="D13" s="208" t="str">
        <f>'1.4.3 Transport'!D11</f>
        <v>Project deleted as it is located in the Rockbank South PSP area</v>
      </c>
    </row>
    <row r="14" spans="1:4" s="46" customFormat="1" ht="22.5" x14ac:dyDescent="0.25">
      <c r="A14" s="16" t="s">
        <v>395</v>
      </c>
      <c r="B14" s="373" t="str">
        <f>'Table 6'!C22</f>
        <v>Removed</v>
      </c>
      <c r="C14" s="95"/>
      <c r="D14" s="208" t="str">
        <f>'1.4.3 Transport'!D12</f>
        <v>Project deleted as it is located in the Rockbank South PSP area</v>
      </c>
    </row>
    <row r="15" spans="1:4" s="46" customFormat="1" ht="33.75" x14ac:dyDescent="0.25">
      <c r="A15" s="16" t="s">
        <v>396</v>
      </c>
      <c r="B15" s="373" t="str">
        <f>'Table 6'!C23</f>
        <v xml:space="preserve">Mount Cottrell Road: Melbourne Ballarat Rail Line to PSP southern boundary
Construction of a 2-lane arterial road (interim layout).
Purchase land (including native vegetation re-alignment) to increase reserve width from 20m to 41m (ultimate).  </v>
      </c>
      <c r="C15" s="95"/>
      <c r="D15" s="208" t="str">
        <f>'1.4.3 Transport'!D13</f>
        <v>Land partially acquired
Road partially constructed (north of IT26)</v>
      </c>
    </row>
    <row r="16" spans="1:4" s="46" customFormat="1" ht="33.75" x14ac:dyDescent="0.25">
      <c r="A16" s="16" t="s">
        <v>397</v>
      </c>
      <c r="B16" s="373" t="str">
        <f>'Table 6'!C26</f>
        <v xml:space="preserve">Mount Cottrell Road: Western Freeway to Melbourne Ballarat Rail Line
Construction of a 2-lane arterial road (interim layout).
Purchase land (including native vegetation re-alignment) to increase reserve width from 20m to 41m (ultimate). </v>
      </c>
      <c r="C16" s="95"/>
      <c r="D16" s="208" t="str">
        <f>'1.4.3 Transport'!D14</f>
        <v>Constructed</v>
      </c>
    </row>
    <row r="17" spans="1:4" s="46" customFormat="1" x14ac:dyDescent="0.25">
      <c r="A17" s="16" t="s">
        <v>727</v>
      </c>
      <c r="B17" s="373" t="s">
        <v>728</v>
      </c>
      <c r="C17" s="95"/>
      <c r="D17" s="208" t="str">
        <f>'1.4.3 Transport'!D15</f>
        <v>This project was skipped in the Toolern DCP</v>
      </c>
    </row>
    <row r="18" spans="1:4" s="46" customFormat="1" ht="33.75" x14ac:dyDescent="0.25">
      <c r="A18" s="16" t="s">
        <v>398</v>
      </c>
      <c r="B18" s="373" t="str">
        <f>'Table 6'!C28</f>
        <v xml:space="preserve">Shogaki Drive: Ferris Road (IT13) to Industrial Connector Road (IT12)
Construction of a 2-lane arterial road (interim layout). 
Purchase land to increase reserve width from 40m to 45m (ultimate). </v>
      </c>
      <c r="C18" s="95"/>
      <c r="D18" s="208" t="str">
        <f>'1.4.3 Transport'!D16</f>
        <v>Not commenced</v>
      </c>
    </row>
    <row r="19" spans="1:4" s="46" customFormat="1" ht="33.75" x14ac:dyDescent="0.25">
      <c r="A19" s="16" t="s">
        <v>399</v>
      </c>
      <c r="B19" s="373" t="str">
        <f>'Table 6'!C29</f>
        <v xml:space="preserve">Ferris Road: Western Freeway to Shogaki Drive (IT13) 
Construction of additional lane in either direction to existing 4-lane divided road to provide ultimate 6-lane divided arterial road (ultimate layout). 
Purchase land to increase reserve width from 34m to 45m (ultimate).  </v>
      </c>
      <c r="C19" s="95"/>
      <c r="D19" s="208" t="str">
        <f>'1.4.3 Transport'!D17</f>
        <v>Not commenced</v>
      </c>
    </row>
    <row r="20" spans="1:4" s="46" customFormat="1" ht="33.75" x14ac:dyDescent="0.25">
      <c r="A20" s="16" t="s">
        <v>400</v>
      </c>
      <c r="B20" s="373" t="str">
        <f>'Table 6'!C30</f>
        <v xml:space="preserve">Ferris Road: Abey Road (IT13) to Melbourne Ballarat Rail Line
Construction of a 2-lane arterial road (interim layout). 
Purchase land to increase reserve width from 34m to 38m (ultimate). </v>
      </c>
      <c r="C20" s="95"/>
      <c r="D20" s="208" t="str">
        <f>'1.4.3 Transport'!D18</f>
        <v>Not commenced</v>
      </c>
    </row>
    <row r="21" spans="1:4" s="46" customFormat="1" ht="22.5" x14ac:dyDescent="0.25">
      <c r="A21" s="16" t="s">
        <v>401</v>
      </c>
      <c r="B21" s="373" t="str">
        <f>'Table 6'!C31</f>
        <v xml:space="preserve">Ferris Road: Melbourne Ballarat Rail Line to Exford Road (IT05)
Construction of a 2-lane arterial road (interim layout). </v>
      </c>
      <c r="C21" s="95"/>
      <c r="D21" s="208" t="str">
        <f>'1.4.3 Transport'!D19</f>
        <v>Partially constructed (Railway Line to Alfred Road)
Under construction (Alfred Road to Exford Road)</v>
      </c>
    </row>
    <row r="22" spans="1:4" s="46" customFormat="1" ht="33.75" x14ac:dyDescent="0.25">
      <c r="A22" s="16" t="s">
        <v>429</v>
      </c>
      <c r="B22" s="373" t="str">
        <f>'Table 6'!C33</f>
        <v xml:space="preserve">Abey Road: Toolern Creek (BD01) to Ferris Road (IT13) 
Construction of a 2-lane arterial road (interim layout).
Purchase land to increase reserve with from 19m to 38m (ultimate).  </v>
      </c>
      <c r="C22" s="95"/>
      <c r="D22" s="208" t="str">
        <f>'1.4.3 Transport'!D20</f>
        <v>Constructed</v>
      </c>
    </row>
    <row r="23" spans="1:4" s="46" customFormat="1" ht="33.75" x14ac:dyDescent="0.25">
      <c r="A23" s="16" t="s">
        <v>430</v>
      </c>
      <c r="B23" s="373" t="str">
        <f>'Table 6'!C36</f>
        <v xml:space="preserve">Shogaki Drive: Industrial Connector Road (IT12) to Mount Cottrell Road (IT10)
Construction of a 2-lane arterial road (interim layout). 
Purchase land to increase reserve width from 0m to 45m (ultimate). </v>
      </c>
      <c r="C23" s="95"/>
      <c r="D23" s="208" t="str">
        <f>'1.4.3 Transport'!D21</f>
        <v>Not commenced</v>
      </c>
    </row>
    <row r="24" spans="1:4" s="46" customFormat="1" ht="22.5" x14ac:dyDescent="0.25">
      <c r="A24" s="16" t="s">
        <v>431</v>
      </c>
      <c r="B24" s="373" t="str">
        <f>'Table 6'!C38</f>
        <v xml:space="preserve">Ferris Road: Melbourne Ballarat Rail Line to Exford Road (IT05)
Purchase land to increase reserve width from 20m to 38m, for road section on Property 30 only. </v>
      </c>
      <c r="C24" s="95"/>
      <c r="D24" s="208" t="str">
        <f>'1.4.3 Transport'!D22</f>
        <v>Land acquired</v>
      </c>
    </row>
    <row r="25" spans="1:4" s="46" customFormat="1" ht="22.5" x14ac:dyDescent="0.25">
      <c r="A25" s="16" t="s">
        <v>432</v>
      </c>
      <c r="B25" s="373" t="str">
        <f>'Table 6'!C40</f>
        <v xml:space="preserve">Ferris Road: Melbourne Ballarat Rail Line to Exford Road (IT05)
Purchase land to increase reserve width from 20m to 38m, for balance of required land (excluding Property 30). </v>
      </c>
      <c r="C25" s="95"/>
      <c r="D25" s="208" t="str">
        <f>'1.4.3 Transport'!D23</f>
        <v>Not commenced</v>
      </c>
    </row>
    <row r="26" spans="1:4" s="46" customFormat="1" ht="22.5" x14ac:dyDescent="0.25">
      <c r="A26" s="16" t="s">
        <v>511</v>
      </c>
      <c r="B26" s="373" t="str">
        <f>'Table 6'!C41</f>
        <v>Paynes Road: Alfred Road (IT30) to East-West Connector Road 1 (IT31)
Construction of a 2-lane arterial road (interim standard).</v>
      </c>
      <c r="C26" s="95"/>
      <c r="D26" s="208" t="str">
        <f>'1.4.3 Transport'!D24</f>
        <v>New project from Rockbank DCP - RD06</v>
      </c>
    </row>
    <row r="27" spans="1:4" s="46" customFormat="1" ht="22.5" x14ac:dyDescent="0.25">
      <c r="A27" s="16" t="s">
        <v>512</v>
      </c>
      <c r="B27" s="373" t="str">
        <f>'Table 6'!C42</f>
        <v>Paynes Road: East-West Connector Road 1 (IT31) to Exford Road (IT07)
Construction of a 2-lane arterial road (interim standard).</v>
      </c>
      <c r="C27" s="95"/>
      <c r="D27" s="208" t="str">
        <f>'1.4.3 Transport'!D25</f>
        <v>New project from Rockbank DCP - RD07</v>
      </c>
    </row>
    <row r="28" spans="1:4" s="46" customFormat="1" ht="22.5" x14ac:dyDescent="0.25">
      <c r="A28" s="16" t="s">
        <v>513</v>
      </c>
      <c r="B28" s="373" t="str">
        <f>'Table 6'!C43</f>
        <v>Paynes Road: Exford Road (IT07) to East-West Connector Road 2 (IT32)
Construction of a 2-lane arterial road (interim standard).</v>
      </c>
      <c r="C28" s="95"/>
      <c r="D28" s="208" t="str">
        <f>'1.4.3 Transport'!D26</f>
        <v>New project from Rockbank DCP - RD08</v>
      </c>
    </row>
    <row r="29" spans="1:4" x14ac:dyDescent="0.25">
      <c r="A29" s="488" t="s">
        <v>549</v>
      </c>
      <c r="B29" s="489"/>
      <c r="D29" s="196"/>
    </row>
    <row r="30" spans="1:4" ht="22.5" x14ac:dyDescent="0.25">
      <c r="A30" s="16" t="s">
        <v>433</v>
      </c>
      <c r="B30" s="94" t="str">
        <f>'Table 6'!C46</f>
        <v>Intersection: Rees Road and East West Arterial
Construction of signalised 4-way intersection (interim standard).</v>
      </c>
      <c r="D30" s="196" t="str">
        <f>'1.4.3 Transport'!D28</f>
        <v>Not commenced</v>
      </c>
    </row>
    <row r="31" spans="1:4" ht="22.5" x14ac:dyDescent="0.25">
      <c r="A31" s="16" t="s">
        <v>434</v>
      </c>
      <c r="B31" s="94" t="str">
        <f>'Table 6'!C47</f>
        <v xml:space="preserve">Intersection: East West Arterial and Exford Road
Construction of signalised T-intersection (interim standard). </v>
      </c>
      <c r="D31" s="196" t="str">
        <f>'1.4.3 Transport'!D29</f>
        <v>Not commenced</v>
      </c>
    </row>
    <row r="32" spans="1:4" ht="22.5" x14ac:dyDescent="0.25">
      <c r="A32" s="16" t="s">
        <v>435</v>
      </c>
      <c r="B32" s="94" t="str">
        <f>'Table 6'!C48</f>
        <v>Intersection: Exford Road and Exford Road
Construction of signalised T-intersection (interim standard).</v>
      </c>
      <c r="D32" s="196" t="str">
        <f>'1.4.3 Transport'!D30</f>
        <v>Not commenced</v>
      </c>
    </row>
    <row r="33" spans="1:4" ht="22.5" x14ac:dyDescent="0.25">
      <c r="A33" s="16" t="s">
        <v>436</v>
      </c>
      <c r="B33" s="94" t="str">
        <f>'Table 6'!C49</f>
        <v xml:space="preserve">Intersection: Exford Road and Greigs Road
Upgrade of protected right-turn lane and left-turn deceleration lane, including drainage and landscaping.  </v>
      </c>
      <c r="D33" s="196" t="str">
        <f>'1.4.3 Transport'!D31</f>
        <v>Not commenced</v>
      </c>
    </row>
    <row r="34" spans="1:4" ht="22.5" x14ac:dyDescent="0.25">
      <c r="A34" s="16" t="s">
        <v>437</v>
      </c>
      <c r="B34" s="94" t="str">
        <f>'Table 6'!C50</f>
        <v>Intersection: Exford Road and Ferris Road
Purchase of land and construction of signalised 4-way intersection (interim standard).</v>
      </c>
      <c r="D34" s="196" t="str">
        <f>'1.4.3 Transport'!D32</f>
        <v>Not commenced</v>
      </c>
    </row>
    <row r="35" spans="1:4" ht="22.5" x14ac:dyDescent="0.25">
      <c r="A35" s="16" t="s">
        <v>438</v>
      </c>
      <c r="B35" s="94" t="str">
        <f>'Table 6'!C51</f>
        <v>Intersection: Exford Road and Mount Cottrell Road
Purchase of land and construction of signalised 4-way intersection (interim standard).</v>
      </c>
      <c r="D35" s="196" t="str">
        <f>'1.4.3 Transport'!D33</f>
        <v>Not commenced</v>
      </c>
    </row>
    <row r="36" spans="1:4" s="46" customFormat="1" ht="22.5" x14ac:dyDescent="0.25">
      <c r="A36" s="16" t="s">
        <v>439</v>
      </c>
      <c r="B36" s="373" t="str">
        <f>'Table 6'!C52</f>
        <v xml:space="preserve">Intersection: Exford Road and Paynes Road
Construction of signalised 4-way intersection (interim standard). </v>
      </c>
      <c r="C36" s="95"/>
      <c r="D36" s="208" t="str">
        <f>'1.4.3 Transport'!D34</f>
        <v>Not commenced</v>
      </c>
    </row>
    <row r="37" spans="1:4" s="46" customFormat="1" ht="22.5" x14ac:dyDescent="0.25">
      <c r="A37" s="16" t="s">
        <v>440</v>
      </c>
      <c r="B37" s="373" t="str">
        <f>'Table 6'!C53</f>
        <v>Deleted</v>
      </c>
      <c r="C37" s="95"/>
      <c r="D37" s="208" t="str">
        <f>'1.4.3 Transport'!D35</f>
        <v>Project deleted as it is located in the Rockbank South PSP area</v>
      </c>
    </row>
    <row r="38" spans="1:4" s="46" customFormat="1" ht="22.5" x14ac:dyDescent="0.25">
      <c r="A38" s="16" t="s">
        <v>441</v>
      </c>
      <c r="B38" s="373" t="str">
        <f>'Table 6'!C54</f>
        <v>Deleted</v>
      </c>
      <c r="C38" s="95"/>
      <c r="D38" s="208" t="str">
        <f>'1.4.3 Transport'!D36</f>
        <v>Project deleted as it is located in the Rockbank South PSP area</v>
      </c>
    </row>
    <row r="39" spans="1:4" s="46" customFormat="1" ht="22.5" x14ac:dyDescent="0.25">
      <c r="A39" s="16" t="s">
        <v>442</v>
      </c>
      <c r="B39" s="373" t="str">
        <f>'Table 6'!C55</f>
        <v>Intersection: Mount Cottrell Road and Shogaki Drive
Purchase of land and construction of signalised 4-way intersection (interim standard).</v>
      </c>
      <c r="C39" s="95"/>
      <c r="D39" s="208" t="str">
        <f>'1.4.3 Transport'!D37</f>
        <v>Partially constructed</v>
      </c>
    </row>
    <row r="40" spans="1:4" s="46" customFormat="1" x14ac:dyDescent="0.25">
      <c r="A40" s="16" t="s">
        <v>725</v>
      </c>
      <c r="B40" s="373" t="str">
        <f>'Table 6'!C56</f>
        <v>Skipped Project - There is no IT11 in the Toolern DCP</v>
      </c>
      <c r="C40" s="95"/>
      <c r="D40" s="208" t="str">
        <f>'1.4.3 Transport'!D38</f>
        <v>This project was skipped in the Toolern DCP</v>
      </c>
    </row>
    <row r="41" spans="1:4" s="46" customFormat="1" ht="22.5" x14ac:dyDescent="0.25">
      <c r="A41" s="16" t="s">
        <v>443</v>
      </c>
      <c r="B41" s="373" t="str">
        <f>'Table 6'!C57</f>
        <v>Intersection: Shogaki Drive and Industrial Connector Road 
Construction of signalised 4-way intersection (interim standard).</v>
      </c>
      <c r="C41" s="95"/>
      <c r="D41" s="208" t="str">
        <f>'1.4.3 Transport'!D39</f>
        <v>Not commenced</v>
      </c>
    </row>
    <row r="42" spans="1:4" s="46" customFormat="1" ht="22.5" x14ac:dyDescent="0.25">
      <c r="A42" s="16" t="s">
        <v>444</v>
      </c>
      <c r="B42" s="373" t="str">
        <f>'Table 6'!C58</f>
        <v xml:space="preserve">Intersection: Ferris Road and Shogaki Drive
Purchase of land and construction of signalised 4-way intersection (interim standard). </v>
      </c>
      <c r="C42" s="95"/>
      <c r="D42" s="208" t="str">
        <f>'1.4.3 Transport'!D40</f>
        <v>Not commenced</v>
      </c>
    </row>
    <row r="43" spans="1:4" s="46" customFormat="1" ht="22.5" x14ac:dyDescent="0.25">
      <c r="A43" s="16" t="s">
        <v>445</v>
      </c>
      <c r="B43" s="373" t="str">
        <f>'Table 6'!C59</f>
        <v>Intersection: Ferris Road and Hollingsworth Drive 
Construction of signalised T-intersection (interim standard).</v>
      </c>
      <c r="C43" s="95"/>
      <c r="D43" s="208" t="str">
        <f>'1.4.3 Transport'!D41</f>
        <v>Constructed</v>
      </c>
    </row>
    <row r="44" spans="1:4" s="46" customFormat="1" ht="33.75" x14ac:dyDescent="0.25">
      <c r="A44" s="16" t="s">
        <v>446</v>
      </c>
      <c r="B44" s="373" t="str">
        <f>'Table 6'!C60</f>
        <v>Intersection: Ferris Road and Bridge Road
Construction of signalised 4-way intersection (interim standard).</v>
      </c>
      <c r="C44" s="95"/>
      <c r="D44" s="208" t="str">
        <f>'1.4.3 Transport'!D42</f>
        <v>Commited project
Part of the Bridge Road extension project to the Hospital</v>
      </c>
    </row>
    <row r="45" spans="1:4" s="46" customFormat="1" ht="22.5" x14ac:dyDescent="0.25">
      <c r="A45" s="16" t="s">
        <v>447</v>
      </c>
      <c r="B45" s="373" t="str">
        <f>'Table 6'!C61</f>
        <v xml:space="preserve">Intersection: Abey Road and Industrial Connector Road
Construction of a signalised T-intersection (interim standard). </v>
      </c>
      <c r="C45" s="95"/>
      <c r="D45" s="208" t="str">
        <f>'1.4.3 Transport'!D43</f>
        <v>Not commenced</v>
      </c>
    </row>
    <row r="46" spans="1:4" s="46" customFormat="1" ht="22.5" x14ac:dyDescent="0.25">
      <c r="A46" s="16" t="s">
        <v>448</v>
      </c>
      <c r="B46" s="373" t="str">
        <f>'Table 6'!C62</f>
        <v>Intersection: Abey Road and Bundy Drive
Construction of signalised T-intersection (interim standard).</v>
      </c>
      <c r="C46" s="95"/>
      <c r="D46" s="208" t="str">
        <f>'1.4.3 Transport'!D44</f>
        <v>Not commenced</v>
      </c>
    </row>
    <row r="47" spans="1:4" s="46" customFormat="1" ht="22.5" x14ac:dyDescent="0.25">
      <c r="A47" s="16" t="s">
        <v>449</v>
      </c>
      <c r="B47" s="373" t="str">
        <f>'Table 6'!C63</f>
        <v>Intersection: Ferris Road and Shakamaker Drive
Construction of signalised 4-way intersection (ultimate standard).</v>
      </c>
      <c r="C47" s="95"/>
      <c r="D47" s="208" t="str">
        <f>'1.4.3 Transport'!D45</f>
        <v>Not commenced</v>
      </c>
    </row>
    <row r="48" spans="1:4" s="46" customFormat="1" ht="22.5" x14ac:dyDescent="0.25">
      <c r="A48" s="16" t="s">
        <v>450</v>
      </c>
      <c r="B48" s="373" t="str">
        <f>'Table 6'!C64</f>
        <v>Intersection: Mount Cottrell Road and Baxterpark Drive
Construction of signalised T-intersection (interim standard).</v>
      </c>
      <c r="C48" s="95"/>
      <c r="D48" s="208" t="str">
        <f>'1.4.3 Transport'!D46</f>
        <v>Constructed</v>
      </c>
    </row>
    <row r="49" spans="1:4" s="46" customFormat="1" ht="22.5" x14ac:dyDescent="0.25">
      <c r="A49" s="16" t="s">
        <v>451</v>
      </c>
      <c r="B49" s="373" t="str">
        <f>'Table 6'!C65</f>
        <v>Intersection: Mount Cottrell Road and Southern Connector Road
Construction of signalised 4-way intersection (interim standard).</v>
      </c>
      <c r="C49" s="95"/>
      <c r="D49" s="208" t="str">
        <f>'1.4.3 Transport'!D47</f>
        <v>Not commenced</v>
      </c>
    </row>
    <row r="50" spans="1:4" s="46" customFormat="1" ht="22.5" x14ac:dyDescent="0.25">
      <c r="A50" s="16" t="s">
        <v>452</v>
      </c>
      <c r="B50" s="373" t="str">
        <f>'Table 6'!C66</f>
        <v xml:space="preserve">Intersection: Exford Road and Eastern North-South Connector Road 
Construction of signalised 4-way intersection (interim standard). </v>
      </c>
      <c r="C50" s="95"/>
      <c r="D50" s="208" t="str">
        <f>'1.4.3 Transport'!D48</f>
        <v>Not commenced</v>
      </c>
    </row>
    <row r="51" spans="1:4" s="46" customFormat="1" ht="22.5" x14ac:dyDescent="0.25">
      <c r="A51" s="16" t="s">
        <v>453</v>
      </c>
      <c r="B51" s="373" t="str">
        <f>'Table 6'!C67</f>
        <v>Intersection: Exford Road and Central North-South Connector Road
Construction of signalised 4-way intersection (interim standard).</v>
      </c>
      <c r="C51" s="95"/>
      <c r="D51" s="208" t="str">
        <f>'1.4.3 Transport'!D49</f>
        <v>Not commenced</v>
      </c>
    </row>
    <row r="52" spans="1:4" s="46" customFormat="1" ht="22.5" x14ac:dyDescent="0.25">
      <c r="A52" s="16" t="s">
        <v>454</v>
      </c>
      <c r="B52" s="373" t="str">
        <f>'Table 6'!C68</f>
        <v>Intersection: Exford Road and Western North-South Connector Road
Construction of signalised T-intersection (interim standard).</v>
      </c>
      <c r="C52" s="95"/>
      <c r="D52" s="208" t="str">
        <f>'1.4.3 Transport'!D50</f>
        <v>Not commenced</v>
      </c>
    </row>
    <row r="53" spans="1:4" s="46" customFormat="1" ht="22.5" x14ac:dyDescent="0.25">
      <c r="A53" s="16" t="s">
        <v>455</v>
      </c>
      <c r="B53" s="373" t="str">
        <f>'Table 6'!C69</f>
        <v>Intersection: Exford Road and Elpis Road
Construction of signalised T-intersection (interim standard).</v>
      </c>
      <c r="C53" s="95"/>
      <c r="D53" s="208" t="str">
        <f>'1.4.3 Transport'!D51</f>
        <v>Constructed</v>
      </c>
    </row>
    <row r="54" spans="1:4" s="46" customFormat="1" ht="22.5" x14ac:dyDescent="0.25">
      <c r="A54" s="16" t="s">
        <v>456</v>
      </c>
      <c r="B54" s="373" t="str">
        <f>'Table 6'!C70</f>
        <v>Intersection: Mount Cottrell Road and Bridge Road
Construction of signalised T-intersection (interim standard).</v>
      </c>
      <c r="C54" s="95"/>
      <c r="D54" s="208" t="str">
        <f>'1.4.3 Transport'!D52</f>
        <v>Not commenced</v>
      </c>
    </row>
    <row r="55" spans="1:4" s="46" customFormat="1" ht="22.5" x14ac:dyDescent="0.25">
      <c r="A55" s="16" t="s">
        <v>457</v>
      </c>
      <c r="B55" s="373" t="str">
        <f>'Table 6'!C71</f>
        <v>Intersection: Mount Cottrell Road and Alfred Road
Construction of signalised 4-way intersection (interim standard).</v>
      </c>
      <c r="C55" s="95"/>
      <c r="D55" s="208" t="str">
        <f>'1.4.3 Transport'!D53</f>
        <v>Under construction</v>
      </c>
    </row>
    <row r="56" spans="1:4" s="46" customFormat="1" ht="22.5" x14ac:dyDescent="0.25">
      <c r="A56" s="16" t="s">
        <v>458</v>
      </c>
      <c r="B56" s="373" t="str">
        <f>'Table 6'!C72</f>
        <v>Intersection: Ferris Road and Alfred Road
Construction of signalised 4-way intersection (interim standard).</v>
      </c>
      <c r="C56" s="95"/>
      <c r="D56" s="208" t="str">
        <f>'1.4.3 Transport'!D54</f>
        <v>Under construction</v>
      </c>
    </row>
    <row r="57" spans="1:4" s="46" customFormat="1" ht="22.5" x14ac:dyDescent="0.25">
      <c r="A57" s="16" t="s">
        <v>459</v>
      </c>
      <c r="B57" s="373" t="str">
        <f>'Table 6'!C73</f>
        <v>Intersection: Ferris Road and Southern Connector Road
Construction of signalised 4-way intersection (interim standard).</v>
      </c>
      <c r="C57" s="95"/>
      <c r="D57" s="208" t="str">
        <f>'1.4.3 Transport'!D55</f>
        <v>Under construction</v>
      </c>
    </row>
    <row r="58" spans="1:4" s="46" customFormat="1" ht="22.5" x14ac:dyDescent="0.25">
      <c r="A58" s="16" t="s">
        <v>503</v>
      </c>
      <c r="B58" s="373" t="str">
        <f>'Table 6'!C74</f>
        <v>Intersection: Ferris Road and Enterprise Street
Construction of a signalised 4-way intersection (interim standard).</v>
      </c>
      <c r="C58" s="95"/>
      <c r="D58" s="208" t="str">
        <f>'1.4.3 Transport'!D56</f>
        <v>New project from CMAC UDF</v>
      </c>
    </row>
    <row r="59" spans="1:4" s="46" customFormat="1" ht="22.5" x14ac:dyDescent="0.25">
      <c r="A59" s="16" t="s">
        <v>504</v>
      </c>
      <c r="B59" s="373" t="str">
        <f>'Table 6'!C75</f>
        <v>Intersection: Paynes Road and Alfred Road
Construction of a signalised 4-way intersection (interim standard).</v>
      </c>
      <c r="C59" s="95"/>
      <c r="D59" s="208" t="str">
        <f>'1.4.3 Transport'!D57</f>
        <v>New project from Rockbank DCP - IT12</v>
      </c>
    </row>
    <row r="60" spans="1:4" s="46" customFormat="1" ht="22.5" x14ac:dyDescent="0.25">
      <c r="A60" s="16" t="s">
        <v>505</v>
      </c>
      <c r="B60" s="373" t="str">
        <f>'Table 6'!C76</f>
        <v>Intersection: Paynes Road and East-West Connector Road 1
Construction of a signalised 4-way intersection (interim standard).</v>
      </c>
      <c r="C60" s="95"/>
      <c r="D60" s="208" t="str">
        <f>'1.4.3 Transport'!D58</f>
        <v>New project from Rockbank DCP - IT13</v>
      </c>
    </row>
    <row r="61" spans="1:4" s="46" customFormat="1" ht="22.5" x14ac:dyDescent="0.25">
      <c r="A61" s="16" t="s">
        <v>506</v>
      </c>
      <c r="B61" s="373" t="str">
        <f>'Table 6'!C77</f>
        <v>Intersection: Paynes Road and East-West Connector Road 2
Construction of a signalised 3-way intersection (interim standard).</v>
      </c>
      <c r="C61" s="95"/>
      <c r="D61" s="208" t="str">
        <f>'1.4.3 Transport'!D59</f>
        <v>New project from Rockbank DCP - IT14</v>
      </c>
    </row>
    <row r="62" spans="1:4" x14ac:dyDescent="0.25">
      <c r="A62" s="488" t="s">
        <v>550</v>
      </c>
      <c r="B62" s="489"/>
      <c r="D62" s="196"/>
    </row>
    <row r="63" spans="1:4" s="46" customFormat="1" ht="22.5" x14ac:dyDescent="0.25">
      <c r="A63" s="16" t="s">
        <v>460</v>
      </c>
      <c r="B63" s="373" t="str">
        <f>'Table 6'!C80</f>
        <v>Abey Road Bridge
Construction of an arterial road bridge over the Toolern Creek.</v>
      </c>
      <c r="C63" s="95"/>
      <c r="D63" s="208" t="str">
        <f>'1.4.3 Transport'!D61</f>
        <v>Constructed</v>
      </c>
    </row>
    <row r="64" spans="1:4" s="46" customFormat="1" ht="22.5" x14ac:dyDescent="0.25">
      <c r="A64" s="16" t="s">
        <v>461</v>
      </c>
      <c r="B64" s="373" t="str">
        <f>'Table 6'!C81</f>
        <v>Bridge Road Bridge
Construction of a connector road bridge over the Toolern Creek.</v>
      </c>
      <c r="C64" s="95"/>
      <c r="D64" s="208" t="str">
        <f>'1.4.3 Transport'!D62</f>
        <v>Constructed</v>
      </c>
    </row>
    <row r="65" spans="1:4" s="46" customFormat="1" ht="22.5" x14ac:dyDescent="0.25">
      <c r="A65" s="16" t="s">
        <v>462</v>
      </c>
      <c r="B65" s="373" t="str">
        <f>'Table 6'!C82</f>
        <v>Exford Road Bridge
Construction of an arterial road bridge over the Toolern Creek.</v>
      </c>
      <c r="C65" s="95"/>
      <c r="D65" s="208" t="str">
        <f>'1.4.3 Transport'!D63</f>
        <v>Not commenced</v>
      </c>
    </row>
    <row r="66" spans="1:4" s="46" customFormat="1" ht="22.5" x14ac:dyDescent="0.25">
      <c r="A66" s="16" t="s">
        <v>463</v>
      </c>
      <c r="B66" s="373" t="str">
        <f>'Table 6'!C83</f>
        <v>Shared Use Pedestrian Bridge 1: Toolern Creek
Construction of a shared use pedestrian bridge over the Toolern Creek.</v>
      </c>
      <c r="C66" s="95"/>
      <c r="D66" s="208" t="str">
        <f>'1.4.3 Transport'!D64</f>
        <v>Not commenced</v>
      </c>
    </row>
    <row r="67" spans="1:4" s="46" customFormat="1" ht="22.5" x14ac:dyDescent="0.25">
      <c r="A67" s="16" t="s">
        <v>464</v>
      </c>
      <c r="B67" s="373" t="str">
        <f>'Table 6'!C84</f>
        <v>Shared Use Pedestrian Bridge 2: Toolern Creek
Construction of a shared use pedestrian bridge over the Toolern Creek.</v>
      </c>
      <c r="C67" s="95"/>
      <c r="D67" s="208" t="str">
        <f>'1.4.3 Transport'!D65</f>
        <v>Not commenced</v>
      </c>
    </row>
    <row r="68" spans="1:4" s="46" customFormat="1" ht="22.5" x14ac:dyDescent="0.25">
      <c r="A68" s="16" t="s">
        <v>465</v>
      </c>
      <c r="B68" s="373" t="str">
        <f>'Table 6'!C85</f>
        <v>Shared Use Pedestrian Bridge 3: Toolern Creek
Construction of a shared use pedestrian bridge over the Toolern Creek.</v>
      </c>
      <c r="C68" s="95"/>
      <c r="D68" s="208" t="str">
        <f>'1.4.3 Transport'!D66</f>
        <v>Not commenced</v>
      </c>
    </row>
    <row r="69" spans="1:4" s="46" customFormat="1" ht="22.5" x14ac:dyDescent="0.25">
      <c r="A69" s="16" t="s">
        <v>466</v>
      </c>
      <c r="B69" s="373" t="str">
        <f>'Table 6'!C86</f>
        <v>Pedestrian Underpass 1: Melbourne Ballarat Railway
Construction of a pedestrian underpass.</v>
      </c>
      <c r="C69" s="95"/>
      <c r="D69" s="208" t="str">
        <f>'1.4.3 Transport'!D67</f>
        <v>Not commenced</v>
      </c>
    </row>
    <row r="70" spans="1:4" s="46" customFormat="1" ht="22.5" x14ac:dyDescent="0.25">
      <c r="A70" s="16" t="s">
        <v>467</v>
      </c>
      <c r="B70" s="373" t="str">
        <f>'Table 6'!C87</f>
        <v>Pedestrian Underpass 2: Melbourne Ballarat Railway
Construction of a pedestrian underpass.</v>
      </c>
      <c r="C70" s="95"/>
      <c r="D70" s="208" t="str">
        <f>'1.4.3 Transport'!D68</f>
        <v>Not commenced</v>
      </c>
    </row>
    <row r="71" spans="1:4" s="46" customFormat="1" x14ac:dyDescent="0.25">
      <c r="A71" s="16" t="s">
        <v>468</v>
      </c>
      <c r="B71" s="373" t="str">
        <f>'Table 6'!C88</f>
        <v>Deleted</v>
      </c>
      <c r="C71" s="95"/>
      <c r="D71" s="208" t="str">
        <f>'1.4.3 Transport'!D69</f>
        <v>Project deleted as it has been replaced by BD16</v>
      </c>
    </row>
    <row r="72" spans="1:4" s="46" customFormat="1" ht="22.5" x14ac:dyDescent="0.25">
      <c r="A72" s="16" t="s">
        <v>469</v>
      </c>
      <c r="B72" s="373" t="str">
        <f>'Table 6'!C89</f>
        <v>Pedestrian Underpass 3: Melbourne Ballarat Railway
Construction of a pedestrian underpass.</v>
      </c>
      <c r="C72" s="95"/>
      <c r="D72" s="208" t="str">
        <f>'1.4.3 Transport'!D70</f>
        <v>Not commenced</v>
      </c>
    </row>
    <row r="73" spans="1:4" s="46" customFormat="1" ht="22.5" x14ac:dyDescent="0.25">
      <c r="A73" s="16" t="s">
        <v>470</v>
      </c>
      <c r="B73" s="373" t="str">
        <f>'Table 6'!C90</f>
        <v>Deleted</v>
      </c>
      <c r="C73" s="95"/>
      <c r="D73" s="208" t="str">
        <f>'1.4.3 Transport'!D71</f>
        <v>Project deleted as this underpass will be included in the Paynes Road Station construction project</v>
      </c>
    </row>
    <row r="74" spans="1:4" s="46" customFormat="1" ht="22.5" x14ac:dyDescent="0.25">
      <c r="A74" s="16" t="s">
        <v>471</v>
      </c>
      <c r="B74" s="373" t="str">
        <f>'Table 6'!C91</f>
        <v>Deleted</v>
      </c>
      <c r="C74" s="95"/>
      <c r="D74" s="208" t="str">
        <f>'1.4.3 Transport'!D72</f>
        <v>Project deleted as this underpass will be included in the Paynes Road Station construction project</v>
      </c>
    </row>
    <row r="75" spans="1:4" s="46" customFormat="1" ht="22.5" x14ac:dyDescent="0.25">
      <c r="A75" s="16" t="s">
        <v>472</v>
      </c>
      <c r="B75" s="373" t="str">
        <f>'Table 6'!C92</f>
        <v>Deleted</v>
      </c>
      <c r="C75" s="95"/>
      <c r="D75" s="208" t="str">
        <f>'1.4.3 Transport'!D73</f>
        <v>Project deleted as this underpass will be included in the Paynes Road Station construction project</v>
      </c>
    </row>
    <row r="76" spans="1:4" s="46" customFormat="1" ht="22.5" x14ac:dyDescent="0.25">
      <c r="A76" s="16" t="s">
        <v>473</v>
      </c>
      <c r="B76" s="373" t="str">
        <f>'Table 6'!C93</f>
        <v>Shared Use Pedestrian Bridge 4: Toolern Creek
Construction of a shared use pedestrian bridge over the Toolern Creek.</v>
      </c>
      <c r="C76" s="95"/>
      <c r="D76" s="208" t="str">
        <f>'1.4.3 Transport'!D74</f>
        <v>Not commenced</v>
      </c>
    </row>
    <row r="77" spans="1:4" s="46" customFormat="1" ht="22.5" x14ac:dyDescent="0.25">
      <c r="A77" s="16" t="s">
        <v>507</v>
      </c>
      <c r="B77" s="373" t="str">
        <f>'Table 6'!C94</f>
        <v>Ferris Road Rail Overpass
Rail-road grade separation at the intersection of Ferris Road and the Melbourne-Ballarat rail corridor.</v>
      </c>
      <c r="C77" s="95"/>
      <c r="D77" s="208" t="str">
        <f>'1.4.3 Transport'!D75</f>
        <v>New project from CMAC UDF</v>
      </c>
    </row>
    <row r="78" spans="1:4" s="46" customFormat="1" ht="22.5" x14ac:dyDescent="0.25">
      <c r="A78" s="16" t="s">
        <v>508</v>
      </c>
      <c r="B78" s="373" t="str">
        <f>'Table 6'!C95</f>
        <v>East Road Rail Overpass
Construction of a rail-road grade separation at the intersection of East Road and the Melbourne-Ballarat rail corridor (interim standard).</v>
      </c>
      <c r="C78" s="95"/>
      <c r="D78" s="208" t="str">
        <f>'1.4.3 Transport'!D76</f>
        <v>New project from CMAC UDF</v>
      </c>
    </row>
    <row r="79" spans="1:4" s="46" customFormat="1" ht="22.5" x14ac:dyDescent="0.25">
      <c r="A79" s="16" t="s">
        <v>509</v>
      </c>
      <c r="B79" s="373" t="str">
        <f>'Table 6'!C96</f>
        <v>Paynes Road Rail Overpass
Construction of a rail-road grade separation at the intersection of Paynes Road and the Melbourne-Ballarat rail corridor (interim standard).</v>
      </c>
      <c r="C79" s="95"/>
      <c r="D79" s="208" t="str">
        <f>'1.4.3 Transport'!D77</f>
        <v>New project from Rockbank DCP - BR04</v>
      </c>
    </row>
    <row r="80" spans="1:4" s="46" customFormat="1" ht="45" x14ac:dyDescent="0.25">
      <c r="A80" s="16" t="s">
        <v>510</v>
      </c>
      <c r="B80" s="373" t="str">
        <f>'Table 6'!C97</f>
        <v>Paynes Road Level Crossing Upgrade
Construction of an upgrade to the level crossing at the intersection of Paynes Road and the Melbourne-Ballarat rail corridor, including automatic gates and pedestrian crossings (ultimate standard). 
Note: Paynes Road level crossing will be closed upon completion of the construction of the Paynes Road Overpass (BD17).</v>
      </c>
      <c r="C80" s="95"/>
      <c r="D80" s="208" t="str">
        <f>'1.4.3 Transport'!D78</f>
        <v>New project from Rockbank DCP - BR07</v>
      </c>
    </row>
    <row r="81" spans="1:4" s="46" customFormat="1" ht="33.75" x14ac:dyDescent="0.25">
      <c r="A81" s="16" t="s">
        <v>515</v>
      </c>
      <c r="B81" s="373" t="str">
        <f>'Table 6'!C98</f>
        <v>Mount Cottrell Road Freeway Interchange
Purchase of land for the construction of a half diamond interchange at the intersection of Mount Cottrell Road and the Western Freeway corridor (ultimate standard, southern approach only)</v>
      </c>
      <c r="C81" s="95"/>
      <c r="D81" s="208" t="str">
        <f>'1.4.3 Transport'!D79</f>
        <v>New project from Paynes Road DCP</v>
      </c>
    </row>
    <row r="82" spans="1:4" s="46" customFormat="1" ht="33.75" x14ac:dyDescent="0.25">
      <c r="A82" s="16" t="s">
        <v>516</v>
      </c>
      <c r="B82" s="373" t="str">
        <f>'Table 6'!C99</f>
        <v>Mount Cottrell Road Rail Overpass
Purchase of land for the construction of a rail-road grade separation at the intersection of Mount Cottrell Road and the Melbourne-Ballarat rail corridor (ultimate standard).</v>
      </c>
      <c r="C82" s="95"/>
      <c r="D82" s="208" t="str">
        <f>'1.4.3 Transport'!D80</f>
        <v>New project from Paynes Road DCP
Land on east side acquired</v>
      </c>
    </row>
    <row r="83" spans="1:4" s="46" customFormat="1" ht="45" x14ac:dyDescent="0.25">
      <c r="A83" s="16" t="s">
        <v>517</v>
      </c>
      <c r="B83" s="373" t="str">
        <f>'Table 6'!C100</f>
        <v>Mount Cottrell Road Level Crossing Upgrade
Construction of an upgrade to the level crossing at the intersection of Mount Cottrell Road and the Melbourne-Ballarat rail corridor, including automatic gates and pedestrian crossings (ultimate standard). 
Note: Mount Cottrell Road level crossing will be closed upon completion of the construction of the Mount Cottrell Road Overpass (BD20).</v>
      </c>
      <c r="C83" s="95"/>
      <c r="D83" s="208" t="str">
        <f>'1.4.3 Transport'!D81</f>
        <v>New project from Paynes Road DCP</v>
      </c>
    </row>
    <row r="84" spans="1:4" x14ac:dyDescent="0.25">
      <c r="A84" s="488" t="s">
        <v>734</v>
      </c>
      <c r="B84" s="489"/>
      <c r="D84" s="196"/>
    </row>
    <row r="85" spans="1:4" ht="67.5" x14ac:dyDescent="0.25">
      <c r="A85" s="16" t="s">
        <v>474</v>
      </c>
      <c r="B85" s="94" t="str">
        <f>'Table 6'!C141</f>
        <v>Weir Views North Sports Reserve
Construction of a sports reserve in Community Hub 1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</v>
      </c>
      <c r="D85" s="196" t="str">
        <f>'1.4.6 Active Recreation'!D3</f>
        <v>Not commenced</v>
      </c>
    </row>
    <row r="86" spans="1:4" ht="22.5" x14ac:dyDescent="0.25">
      <c r="A86" s="16" t="s">
        <v>475</v>
      </c>
      <c r="B86" s="94" t="str">
        <f>'Table 6'!C142</f>
        <v>Weir Views North Sports Reserve Pavilion 
Construction of a pavilion in Community Hub 1, including all building works, landscaping, and related infrastructure</v>
      </c>
      <c r="D86" s="196" t="str">
        <f>'1.4.6 Active Recreation'!D4</f>
        <v>Not commenced</v>
      </c>
    </row>
    <row r="87" spans="1:4" ht="45" x14ac:dyDescent="0.25">
      <c r="A87" s="16" t="s">
        <v>476</v>
      </c>
      <c r="B87" s="94" t="str">
        <f>'Table 6'!C143</f>
        <v>Weir Views East Sports Reserve
Construction of a sports reserve incorporating:
- Playing surfaces and car parks, including all construction works, landscaping, and related infrastructure
- Playground including play space, youth space, picnic facilities, and BBQ</v>
      </c>
      <c r="D87" s="196" t="str">
        <f>'1.4.6 Active Recreation'!D5</f>
        <v>Not commenced</v>
      </c>
    </row>
    <row r="88" spans="1:4" ht="22.5" x14ac:dyDescent="0.25">
      <c r="A88" s="16" t="s">
        <v>477</v>
      </c>
      <c r="B88" s="94" t="str">
        <f>'Table 6'!C144</f>
        <v>Weir Views East Sports Reserve Pavilion
Construction of a pavilion, including all building works, landscaping, and related infrastructure</v>
      </c>
      <c r="D88" s="196" t="str">
        <f>'1.4.6 Active Recreation'!D6</f>
        <v>Not commenced</v>
      </c>
    </row>
    <row r="89" spans="1:4" ht="45" x14ac:dyDescent="0.25">
      <c r="A89" s="16" t="s">
        <v>478</v>
      </c>
      <c r="B89" s="94" t="str">
        <f>'Table 6'!C145</f>
        <v>Weir Views South Sports Reserve
Construction of a sports reserve in Community Hub 2 incorporating:
- Playing surfaces and car parks, including all construction works, landscaping, and related infrastructure
- Playground including play space, youth space, picnic facilities, and BBQ</v>
      </c>
      <c r="D89" s="196" t="str">
        <f>'1.4.6 Active Recreation'!D7</f>
        <v>Not commenced</v>
      </c>
    </row>
    <row r="90" spans="1:4" ht="22.5" x14ac:dyDescent="0.25">
      <c r="A90" s="16" t="s">
        <v>479</v>
      </c>
      <c r="B90" s="94" t="str">
        <f>'Table 6'!C146</f>
        <v>Weir Views South Sports Reserve
Construction of a pavilion in Community Hub 2, including all building works, landscaping, and related infrastructure</v>
      </c>
      <c r="D90" s="196" t="str">
        <f>'1.4.6 Active Recreation'!D8</f>
        <v>Not commenced</v>
      </c>
    </row>
    <row r="91" spans="1:4" ht="45" x14ac:dyDescent="0.25">
      <c r="A91" s="16" t="s">
        <v>480</v>
      </c>
      <c r="B91" s="94" t="str">
        <f>'Table 6'!C147</f>
        <v>Strathtulloh Sports Reserve
Construction of a sports reserve in Community Hub 3 incorporating:
- Playing surfaces and car parks, including all construction works, landscaping, and related infrastructure
- Playground including play space, youth space, picnic facilities, and BBQ</v>
      </c>
      <c r="D91" s="196" t="str">
        <f>'1.4.6 Active Recreation'!D9</f>
        <v>Not commenced</v>
      </c>
    </row>
    <row r="92" spans="1:4" ht="22.5" x14ac:dyDescent="0.25">
      <c r="A92" s="16" t="s">
        <v>481</v>
      </c>
      <c r="B92" s="94" t="str">
        <f>'Table 6'!C148</f>
        <v>Strathtulloh Sports Reserve Pavilion
Construction of a pavilion in Community Hub 3, including all building works, landscaping, and related infrastructure</v>
      </c>
      <c r="D92" s="196" t="str">
        <f>'1.4.6 Active Recreation'!D10</f>
        <v>Not commenced</v>
      </c>
    </row>
    <row r="93" spans="1:4" ht="67.5" x14ac:dyDescent="0.25">
      <c r="A93" s="16" t="s">
        <v>482</v>
      </c>
      <c r="B93" s="94" t="str">
        <f>'Table 6'!C149</f>
        <v>Thornhill Park Sports Reserve
Construction of a sports reserve in Community Hub 4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</v>
      </c>
      <c r="D93" s="196" t="str">
        <f>'1.4.6 Active Recreation'!D11</f>
        <v>Not commenced</v>
      </c>
    </row>
    <row r="94" spans="1:4" ht="22.5" x14ac:dyDescent="0.25">
      <c r="A94" s="16" t="s">
        <v>483</v>
      </c>
      <c r="B94" s="94" t="str">
        <f>'Table 6'!C150</f>
        <v>Thornhill Park Sports Reserve Pavilion
Construction of a pavilion in Community Hub 4, including all building works, landscaping, and related infrastructure</v>
      </c>
      <c r="D94" s="196" t="str">
        <f>'1.4.6 Active Recreation'!D12</f>
        <v>Not commenced</v>
      </c>
    </row>
    <row r="95" spans="1:4" ht="45" x14ac:dyDescent="0.25">
      <c r="A95" s="16" t="s">
        <v>484</v>
      </c>
      <c r="B95" s="94" t="str">
        <f>'Table 6'!C151</f>
        <v>Cobblebank East Sports Reserve
Construction of a sports reserve in Community Hub 5 incorporating:
- Playing surfaces and car parks, including all construction works, landscaping, and related infrastructure
- Playground including play space, youth space, picnic facilities, and BBQ</v>
      </c>
      <c r="D95" s="196" t="str">
        <f>'1.4.6 Active Recreation'!D13</f>
        <v>Not commenced</v>
      </c>
    </row>
    <row r="96" spans="1:4" ht="22.5" x14ac:dyDescent="0.25">
      <c r="A96" s="16" t="s">
        <v>485</v>
      </c>
      <c r="B96" s="94" t="str">
        <f>'Table 6'!C152</f>
        <v>Cobblebank East Sports Reserve Pavilion
Construction of a pavilion in Community Hub 5, including all building works, landscaping, and related infrastructure</v>
      </c>
      <c r="D96" s="196" t="str">
        <f>'1.4.6 Active Recreation'!D14</f>
        <v>Not commenced</v>
      </c>
    </row>
    <row r="97" spans="1:4" ht="45" x14ac:dyDescent="0.25">
      <c r="A97" s="16" t="s">
        <v>486</v>
      </c>
      <c r="B97" s="94" t="str">
        <f>'Table 6'!C153</f>
        <v>Cobblebank Central Sports Reserve
Construction of a sports reserve in Community Hub 7 incorporating:
- Playing surfaces and car parks, including all construction works, landscaping, and related infrastructure
- Playground including play space, youth space, picnic facilities, and BBQ</v>
      </c>
      <c r="D97" s="196" t="str">
        <f>'1.4.6 Active Recreation'!D15</f>
        <v>Not commenced</v>
      </c>
    </row>
    <row r="98" spans="1:4" s="46" customFormat="1" ht="22.5" x14ac:dyDescent="0.25">
      <c r="A98" s="16" t="s">
        <v>487</v>
      </c>
      <c r="B98" s="373" t="str">
        <f>'Table 6'!C154</f>
        <v>Cobblebank Central Sports Reserve Pavilion
Construction of a pavilion in Community Hub 7, including all building works, landscaping and related infrastructure</v>
      </c>
      <c r="C98" s="95"/>
      <c r="D98" s="208" t="str">
        <f>'1.4.6 Active Recreation'!D16</f>
        <v>Not commenced</v>
      </c>
    </row>
    <row r="99" spans="1:4" s="46" customFormat="1" ht="78.75" x14ac:dyDescent="0.25">
      <c r="A99" s="16" t="s">
        <v>488</v>
      </c>
      <c r="B99" s="373" t="str">
        <f>'Table 6'!C155</f>
        <v>Bridge Road Sports Reserve
Construction of a sports reserve in Community Hub 6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
Area 2 Contribution (60%)</v>
      </c>
      <c r="C99" s="95"/>
      <c r="D99" s="208" t="str">
        <f>'1.4.6 Active Recreation'!D17</f>
        <v>Constructed</v>
      </c>
    </row>
    <row r="100" spans="1:4" s="46" customFormat="1" ht="78.75" x14ac:dyDescent="0.25">
      <c r="A100" s="16" t="s">
        <v>489</v>
      </c>
      <c r="B100" s="373" t="str">
        <f>'Table 6'!C156</f>
        <v>Bridge Road Sports Reserve
Construction of a sports reserve in Community Hub 6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
Area 3 Contribution (40%)</v>
      </c>
      <c r="C100" s="95"/>
      <c r="D100" s="208" t="str">
        <f>'1.4.6 Active Recreation'!D18</f>
        <v>Constructed</v>
      </c>
    </row>
    <row r="101" spans="1:4" s="46" customFormat="1" ht="22.5" x14ac:dyDescent="0.25">
      <c r="A101" s="16" t="s">
        <v>490</v>
      </c>
      <c r="B101" s="373" t="str">
        <f>'Table 6'!C157</f>
        <v>Bridge Road Sports Reserve Pavilion
Construction of a pavilion in Community Hub 6, including all building works, landscaping, and related infrastructure</v>
      </c>
      <c r="C101" s="95"/>
      <c r="D101" s="208" t="str">
        <f>'1.4.6 Active Recreation'!D19</f>
        <v>Constructed</v>
      </c>
    </row>
    <row r="102" spans="1:4" x14ac:dyDescent="0.25">
      <c r="A102" s="488" t="s">
        <v>735</v>
      </c>
      <c r="B102" s="489"/>
      <c r="D102" s="196"/>
    </row>
    <row r="103" spans="1:4" s="46" customFormat="1" ht="22.5" x14ac:dyDescent="0.25">
      <c r="A103" s="16" t="s">
        <v>491</v>
      </c>
      <c r="B103" s="373" t="str">
        <f>'Table 6'!C160</f>
        <v>Toolern Creek Regional Park Trail
Concrete Shared Path including pavement, drainage, and landscaping (3 metres wide, length 3,250 metres)</v>
      </c>
      <c r="C103" s="95"/>
      <c r="D103" s="208" t="str">
        <f>'1.4.3 Transport'!D83</f>
        <v>Constructed</v>
      </c>
    </row>
  </sheetData>
  <sheetProtection algorithmName="SHA-512" hashValue="tUkw+ZiJ1qaV6KqSjfE8Mm17rJr19Z9MiNouT/hu9tTB+v/vQjs0IH8h3B9R8S9V6+tdr+FXH9wejd7iuXZCpQ==" saltValue="326XJzX/EW4bsUpskXPQ+A==" spinCount="100000" sheet="1" objects="1" scenarios="1"/>
  <mergeCells count="5">
    <mergeCell ref="A102:B102"/>
    <mergeCell ref="A84:B84"/>
    <mergeCell ref="A62:B62"/>
    <mergeCell ref="A29:B29"/>
    <mergeCell ref="A4:B4"/>
  </mergeCells>
  <phoneticPr fontId="8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C0EF-A8F8-4695-9450-0CFF2F4B4EEB}">
  <dimension ref="A1:G71"/>
  <sheetViews>
    <sheetView workbookViewId="0">
      <selection sqref="A1:XFD1048576"/>
    </sheetView>
  </sheetViews>
  <sheetFormatPr defaultRowHeight="15" x14ac:dyDescent="0.25"/>
  <cols>
    <col min="1" max="1" width="30.42578125" customWidth="1"/>
    <col min="2" max="2" width="19" customWidth="1"/>
    <col min="3" max="3" width="21.140625" customWidth="1"/>
    <col min="4" max="4" width="20" customWidth="1"/>
    <col min="5" max="5" width="21.42578125" customWidth="1"/>
    <col min="6" max="7" width="19" customWidth="1"/>
  </cols>
  <sheetData>
    <row r="1" spans="1:5" x14ac:dyDescent="0.25">
      <c r="A1" t="s">
        <v>926</v>
      </c>
    </row>
    <row r="3" spans="1:5" x14ac:dyDescent="0.25">
      <c r="A3" s="286" t="s">
        <v>927</v>
      </c>
    </row>
    <row r="5" spans="1:5" s="283" customFormat="1" ht="45" x14ac:dyDescent="0.25">
      <c r="A5" s="284" t="s">
        <v>928</v>
      </c>
      <c r="B5" s="284" t="s">
        <v>988</v>
      </c>
      <c r="C5" s="284" t="s">
        <v>929</v>
      </c>
      <c r="D5" s="284" t="s">
        <v>989</v>
      </c>
      <c r="E5" s="284" t="s">
        <v>930</v>
      </c>
    </row>
    <row r="6" spans="1:5" x14ac:dyDescent="0.25">
      <c r="A6" s="285" t="s">
        <v>931</v>
      </c>
      <c r="B6" s="299">
        <f>'Table 4'!F44</f>
        <v>121328897.72000001</v>
      </c>
      <c r="C6" s="291" t="s">
        <v>945</v>
      </c>
      <c r="D6" s="299">
        <f>'Table 4'!I44</f>
        <v>115300624.78500001</v>
      </c>
      <c r="E6" s="292">
        <f>D6/B6</f>
        <v>0.95031461549323637</v>
      </c>
    </row>
    <row r="7" spans="1:5" x14ac:dyDescent="0.25">
      <c r="A7" s="285" t="s">
        <v>932</v>
      </c>
      <c r="B7" s="299">
        <f>'Table 4'!F78</f>
        <v>176986625.07999998</v>
      </c>
      <c r="C7" s="291" t="s">
        <v>945</v>
      </c>
      <c r="D7" s="299">
        <f>'Table 4'!I78</f>
        <v>163853312.94249997</v>
      </c>
      <c r="E7" s="292">
        <f t="shared" ref="E7:E14" si="0">D7/B7</f>
        <v>0.92579488912473695</v>
      </c>
    </row>
    <row r="8" spans="1:5" x14ac:dyDescent="0.25">
      <c r="A8" s="285" t="s">
        <v>933</v>
      </c>
      <c r="B8" s="299">
        <f>'Table 4'!F101</f>
        <v>76611480.269999996</v>
      </c>
      <c r="C8" s="291" t="s">
        <v>945</v>
      </c>
      <c r="D8" s="299">
        <f>'Table 4'!I101</f>
        <v>64599425.109999999</v>
      </c>
      <c r="E8" s="292">
        <f t="shared" si="0"/>
        <v>0.84320815734578947</v>
      </c>
    </row>
    <row r="9" spans="1:5" x14ac:dyDescent="0.25">
      <c r="A9" s="285" t="s">
        <v>934</v>
      </c>
      <c r="B9" s="299">
        <f>'Table 4'!F104</f>
        <v>3300000</v>
      </c>
      <c r="C9" s="291" t="s">
        <v>945</v>
      </c>
      <c r="D9" s="299">
        <f>'Table 4'!F104</f>
        <v>3300000</v>
      </c>
      <c r="E9" s="292">
        <f t="shared" si="0"/>
        <v>1</v>
      </c>
    </row>
    <row r="10" spans="1:5" x14ac:dyDescent="0.25">
      <c r="A10" s="285" t="s">
        <v>935</v>
      </c>
      <c r="B10" s="299">
        <f>'Table 4'!F115</f>
        <v>120800000</v>
      </c>
      <c r="C10" s="291" t="s">
        <v>945</v>
      </c>
      <c r="D10" s="299">
        <f>'Table 4'!I115</f>
        <v>114905000</v>
      </c>
      <c r="E10" s="292">
        <f t="shared" si="0"/>
        <v>0.9512003311258278</v>
      </c>
    </row>
    <row r="11" spans="1:5" x14ac:dyDescent="0.25">
      <c r="A11" s="285" t="s">
        <v>50</v>
      </c>
      <c r="B11" s="299">
        <f>'Table 4'!F139</f>
        <v>71187220.650000006</v>
      </c>
      <c r="C11" s="291" t="s">
        <v>945</v>
      </c>
      <c r="D11" s="299">
        <f>'Table 4'!I139</f>
        <v>61102538.860000007</v>
      </c>
      <c r="E11" s="292">
        <f t="shared" si="0"/>
        <v>0.85833578417701584</v>
      </c>
    </row>
    <row r="12" spans="1:5" x14ac:dyDescent="0.25">
      <c r="A12" s="285" t="s">
        <v>936</v>
      </c>
      <c r="B12" s="299">
        <f>'Table 4'!F158</f>
        <v>91713153.890000001</v>
      </c>
      <c r="C12" s="291" t="s">
        <v>945</v>
      </c>
      <c r="D12" s="299">
        <f>'Table 4'!I158</f>
        <v>72696365.930000007</v>
      </c>
      <c r="E12" s="292">
        <f t="shared" si="0"/>
        <v>0.79264928580682581</v>
      </c>
    </row>
    <row r="13" spans="1:5" x14ac:dyDescent="0.25">
      <c r="A13" s="285" t="s">
        <v>937</v>
      </c>
      <c r="B13" s="299">
        <f>'Table 4'!F161</f>
        <v>916462.91</v>
      </c>
      <c r="C13" s="291" t="s">
        <v>945</v>
      </c>
      <c r="D13" s="299">
        <f>'Table 4'!I161</f>
        <v>916462.91</v>
      </c>
      <c r="E13" s="292">
        <f t="shared" si="0"/>
        <v>1</v>
      </c>
    </row>
    <row r="14" spans="1:5" x14ac:dyDescent="0.25">
      <c r="A14" s="285" t="s">
        <v>938</v>
      </c>
      <c r="B14" s="299">
        <f>'Table 4'!F164</f>
        <v>1678503.51</v>
      </c>
      <c r="C14" s="291" t="s">
        <v>945</v>
      </c>
      <c r="D14" s="299">
        <f>'Table 4'!I164</f>
        <v>1678503.51</v>
      </c>
      <c r="E14" s="292">
        <f t="shared" si="0"/>
        <v>1</v>
      </c>
    </row>
    <row r="15" spans="1:5" s="286" customFormat="1" x14ac:dyDescent="0.25">
      <c r="A15" s="289" t="s">
        <v>213</v>
      </c>
      <c r="B15" s="300">
        <f>SUM(B6:B14)</f>
        <v>664522344.02999997</v>
      </c>
      <c r="C15" s="290"/>
      <c r="D15" s="300">
        <f>SUM(D6:D14)</f>
        <v>598352234.04750001</v>
      </c>
      <c r="E15" s="290"/>
    </row>
    <row r="17" spans="1:6" x14ac:dyDescent="0.25">
      <c r="A17" t="s">
        <v>939</v>
      </c>
    </row>
    <row r="19" spans="1:6" ht="30" x14ac:dyDescent="0.25">
      <c r="A19" s="284" t="s">
        <v>928</v>
      </c>
      <c r="B19" s="288" t="s">
        <v>940</v>
      </c>
      <c r="C19" s="288" t="s">
        <v>941</v>
      </c>
    </row>
    <row r="20" spans="1:6" x14ac:dyDescent="0.25">
      <c r="A20" s="285" t="s">
        <v>931</v>
      </c>
      <c r="B20" s="301">
        <f>'Table 6'!D44</f>
        <v>74988.862155869341</v>
      </c>
      <c r="C20" s="287"/>
      <c r="E20" t="s">
        <v>946</v>
      </c>
      <c r="F20" s="294">
        <f>B20+B21+B22+B23+B27</f>
        <v>226485.96802379514</v>
      </c>
    </row>
    <row r="21" spans="1:6" x14ac:dyDescent="0.25">
      <c r="A21" s="285" t="s">
        <v>932</v>
      </c>
      <c r="B21" s="301">
        <f>'Table 6'!D78</f>
        <v>106566.40864643559</v>
      </c>
      <c r="C21" s="287"/>
      <c r="E21" t="s">
        <v>947</v>
      </c>
      <c r="F21" s="294">
        <f>B25+B24+B26</f>
        <v>211985.17520392797</v>
      </c>
    </row>
    <row r="22" spans="1:6" x14ac:dyDescent="0.25">
      <c r="A22" s="285" t="s">
        <v>933</v>
      </c>
      <c r="B22" s="301">
        <f>'Table 6'!D101</f>
        <v>42013.973419096365</v>
      </c>
      <c r="C22" s="287"/>
      <c r="F22" s="294">
        <f>F20+F21+B28</f>
        <v>439562.80312613421</v>
      </c>
    </row>
    <row r="23" spans="1:6" x14ac:dyDescent="0.25">
      <c r="A23" s="285" t="s">
        <v>934</v>
      </c>
      <c r="B23" s="301">
        <f>'Table 6'!D104</f>
        <v>2146.2437482521123</v>
      </c>
      <c r="C23" s="287"/>
    </row>
    <row r="24" spans="1:6" x14ac:dyDescent="0.25">
      <c r="A24" s="285" t="s">
        <v>935</v>
      </c>
      <c r="B24" s="301">
        <f>'Table 6'!D115</f>
        <v>86338.584799097676</v>
      </c>
      <c r="C24" s="287"/>
    </row>
    <row r="25" spans="1:6" x14ac:dyDescent="0.25">
      <c r="A25" s="285" t="s">
        <v>50</v>
      </c>
      <c r="B25" s="301">
        <f>'Table 6'!D139</f>
        <v>63266.056351696709</v>
      </c>
      <c r="C25" s="287" t="s">
        <v>990</v>
      </c>
    </row>
    <row r="26" spans="1:6" x14ac:dyDescent="0.25">
      <c r="A26" s="285" t="s">
        <v>936</v>
      </c>
      <c r="B26" s="301">
        <f>'Table 6'!D158</f>
        <v>62380.534053133582</v>
      </c>
      <c r="C26" s="287" t="s">
        <v>990</v>
      </c>
    </row>
    <row r="27" spans="1:6" x14ac:dyDescent="0.25">
      <c r="A27" s="285" t="s">
        <v>937</v>
      </c>
      <c r="B27" s="301">
        <f>'Table 6'!D161</f>
        <v>770.48005414176066</v>
      </c>
      <c r="C27" s="287"/>
    </row>
    <row r="28" spans="1:6" x14ac:dyDescent="0.25">
      <c r="A28" s="285" t="s">
        <v>938</v>
      </c>
      <c r="B28" s="293">
        <f>'Table 6'!D164</f>
        <v>1091.6598984111292</v>
      </c>
      <c r="C28" s="287"/>
    </row>
    <row r="29" spans="1:6" s="286" customFormat="1" x14ac:dyDescent="0.25">
      <c r="A29" s="289" t="s">
        <v>213</v>
      </c>
      <c r="B29" s="302">
        <f>SUM(B20:B28)</f>
        <v>439562.80312613427</v>
      </c>
      <c r="C29" s="295" t="s">
        <v>990</v>
      </c>
    </row>
    <row r="31" spans="1:6" x14ac:dyDescent="0.25">
      <c r="A31" t="s">
        <v>942</v>
      </c>
    </row>
    <row r="33" spans="1:6" ht="30" x14ac:dyDescent="0.25">
      <c r="A33" s="284" t="s">
        <v>928</v>
      </c>
      <c r="B33" s="288" t="s">
        <v>940</v>
      </c>
      <c r="C33" s="288" t="s">
        <v>941</v>
      </c>
    </row>
    <row r="34" spans="1:6" x14ac:dyDescent="0.25">
      <c r="A34" s="285" t="s">
        <v>931</v>
      </c>
      <c r="B34" s="301">
        <f>'Table 6'!F44</f>
        <v>74988.862155869341</v>
      </c>
      <c r="C34" s="287"/>
      <c r="E34" t="s">
        <v>946</v>
      </c>
      <c r="F34" s="294">
        <f>B34+B35+B36+B37+B41</f>
        <v>226485.96802379514</v>
      </c>
    </row>
    <row r="35" spans="1:6" x14ac:dyDescent="0.25">
      <c r="A35" s="285" t="s">
        <v>932</v>
      </c>
      <c r="B35" s="301">
        <f>'Table 6'!F78</f>
        <v>106566.40864643559</v>
      </c>
      <c r="C35" s="287"/>
      <c r="E35" t="s">
        <v>947</v>
      </c>
      <c r="F35" s="294">
        <f>B39+B38+B40</f>
        <v>214410.36184488423</v>
      </c>
    </row>
    <row r="36" spans="1:6" x14ac:dyDescent="0.25">
      <c r="A36" s="285" t="s">
        <v>933</v>
      </c>
      <c r="B36" s="301">
        <f>'Table 6'!F101</f>
        <v>42013.973419096365</v>
      </c>
      <c r="C36" s="287"/>
      <c r="F36" s="294">
        <f>F35+F34+B42</f>
        <v>441987.98976709053</v>
      </c>
    </row>
    <row r="37" spans="1:6" x14ac:dyDescent="0.25">
      <c r="A37" s="285" t="s">
        <v>934</v>
      </c>
      <c r="B37" s="301">
        <f>'Table 6'!F104</f>
        <v>2146.2437482521123</v>
      </c>
      <c r="C37" s="287"/>
    </row>
    <row r="38" spans="1:6" x14ac:dyDescent="0.25">
      <c r="A38" s="285" t="s">
        <v>935</v>
      </c>
      <c r="B38" s="301">
        <f>'Table 6'!F115</f>
        <v>100548.27682808318</v>
      </c>
      <c r="C38" s="287"/>
    </row>
    <row r="39" spans="1:6" x14ac:dyDescent="0.25">
      <c r="A39" s="285" t="s">
        <v>50</v>
      </c>
      <c r="B39" s="301">
        <f>'Table 6'!F139</f>
        <v>48592.335585245572</v>
      </c>
      <c r="C39" s="287" t="s">
        <v>990</v>
      </c>
    </row>
    <row r="40" spans="1:6" x14ac:dyDescent="0.25">
      <c r="A40" s="285" t="s">
        <v>936</v>
      </c>
      <c r="B40" s="301">
        <f>'Table 6'!F158</f>
        <v>65269.74943155548</v>
      </c>
      <c r="C40" s="287" t="s">
        <v>990</v>
      </c>
    </row>
    <row r="41" spans="1:6" x14ac:dyDescent="0.25">
      <c r="A41" s="285" t="s">
        <v>937</v>
      </c>
      <c r="B41" s="301">
        <f>'Table 6'!F161</f>
        <v>770.48005414176066</v>
      </c>
      <c r="C41" s="287"/>
    </row>
    <row r="42" spans="1:6" x14ac:dyDescent="0.25">
      <c r="A42" s="285" t="s">
        <v>938</v>
      </c>
      <c r="B42" s="301">
        <f>'Table 6'!F164</f>
        <v>1091.6598984111292</v>
      </c>
      <c r="C42" s="287"/>
    </row>
    <row r="43" spans="1:6" s="286" customFormat="1" x14ac:dyDescent="0.25">
      <c r="A43" s="289" t="s">
        <v>213</v>
      </c>
      <c r="B43" s="302">
        <f>SUM(B34:B42)</f>
        <v>441987.98976709048</v>
      </c>
      <c r="C43" s="295" t="s">
        <v>990</v>
      </c>
    </row>
    <row r="45" spans="1:6" x14ac:dyDescent="0.25">
      <c r="A45" t="s">
        <v>943</v>
      </c>
    </row>
    <row r="47" spans="1:6" ht="30" x14ac:dyDescent="0.25">
      <c r="A47" s="284" t="s">
        <v>928</v>
      </c>
      <c r="B47" s="288" t="s">
        <v>940</v>
      </c>
      <c r="C47" s="288" t="s">
        <v>941</v>
      </c>
    </row>
    <row r="48" spans="1:6" x14ac:dyDescent="0.25">
      <c r="A48" s="285" t="s">
        <v>931</v>
      </c>
      <c r="B48" s="301">
        <f>'Table 6'!H44</f>
        <v>74988.862155869341</v>
      </c>
      <c r="C48" s="287"/>
      <c r="E48" t="s">
        <v>946</v>
      </c>
      <c r="F48" s="294">
        <f>B48+B49+B50+B51+B55</f>
        <v>226485.96802379514</v>
      </c>
    </row>
    <row r="49" spans="1:7" x14ac:dyDescent="0.25">
      <c r="A49" s="285" t="s">
        <v>932</v>
      </c>
      <c r="B49" s="301">
        <f>'Table 6'!H78</f>
        <v>106566.40864643559</v>
      </c>
      <c r="C49" s="287"/>
      <c r="E49" t="s">
        <v>947</v>
      </c>
      <c r="F49" s="294">
        <f>B53+B52+B54</f>
        <v>141951.19851555285</v>
      </c>
    </row>
    <row r="50" spans="1:7" x14ac:dyDescent="0.25">
      <c r="A50" s="285" t="s">
        <v>933</v>
      </c>
      <c r="B50" s="301">
        <f>'Table 6'!H101</f>
        <v>42013.973419096365</v>
      </c>
      <c r="C50" s="287"/>
      <c r="F50" s="294">
        <f>F48+F49+B56</f>
        <v>369528.8264377591</v>
      </c>
    </row>
    <row r="51" spans="1:7" x14ac:dyDescent="0.25">
      <c r="A51" s="285" t="s">
        <v>934</v>
      </c>
      <c r="B51" s="301">
        <f>'Table 6'!H104</f>
        <v>2146.2437482521123</v>
      </c>
      <c r="C51" s="287"/>
    </row>
    <row r="52" spans="1:7" x14ac:dyDescent="0.25">
      <c r="A52" s="285" t="s">
        <v>935</v>
      </c>
      <c r="B52" s="301">
        <f>'Table 6'!H115</f>
        <v>89867.41475706936</v>
      </c>
      <c r="C52" s="287"/>
    </row>
    <row r="53" spans="1:7" x14ac:dyDescent="0.25">
      <c r="A53" s="285" t="s">
        <v>50</v>
      </c>
      <c r="B53" s="301">
        <f>'Table 6'!H139</f>
        <v>34168.349520243384</v>
      </c>
      <c r="C53" s="287" t="s">
        <v>990</v>
      </c>
    </row>
    <row r="54" spans="1:7" x14ac:dyDescent="0.25">
      <c r="A54" s="285" t="s">
        <v>936</v>
      </c>
      <c r="B54" s="301">
        <f>'Table 6'!H158</f>
        <v>17915.434238240112</v>
      </c>
      <c r="C54" s="287" t="s">
        <v>990</v>
      </c>
      <c r="E54" s="307"/>
      <c r="F54" s="308"/>
      <c r="G54" s="306"/>
    </row>
    <row r="55" spans="1:7" x14ac:dyDescent="0.25">
      <c r="A55" s="285" t="s">
        <v>937</v>
      </c>
      <c r="B55" s="301">
        <f>'Table 6'!H161</f>
        <v>770.48005414176066</v>
      </c>
      <c r="C55" s="287"/>
      <c r="E55" s="492"/>
      <c r="F55" s="308"/>
      <c r="G55" s="306"/>
    </row>
    <row r="56" spans="1:7" x14ac:dyDescent="0.25">
      <c r="A56" s="285" t="s">
        <v>938</v>
      </c>
      <c r="B56" s="301">
        <f>'Table 6'!H164</f>
        <v>1091.6598984111292</v>
      </c>
      <c r="C56" s="287"/>
      <c r="E56" s="492"/>
      <c r="F56" s="308"/>
      <c r="G56" s="306"/>
    </row>
    <row r="57" spans="1:7" s="286" customFormat="1" x14ac:dyDescent="0.25">
      <c r="A57" s="289" t="s">
        <v>213</v>
      </c>
      <c r="B57" s="302">
        <f>SUM(B48:B56)</f>
        <v>369528.82643775915</v>
      </c>
      <c r="C57" s="295" t="s">
        <v>990</v>
      </c>
      <c r="E57" s="307"/>
      <c r="F57" s="308"/>
      <c r="G57" s="306"/>
    </row>
    <row r="58" spans="1:7" x14ac:dyDescent="0.25">
      <c r="E58" s="309"/>
      <c r="F58" s="310"/>
    </row>
    <row r="59" spans="1:7" x14ac:dyDescent="0.25">
      <c r="A59" t="s">
        <v>944</v>
      </c>
    </row>
    <row r="61" spans="1:7" ht="30" x14ac:dyDescent="0.25">
      <c r="A61" s="284" t="s">
        <v>928</v>
      </c>
      <c r="B61" s="288" t="s">
        <v>940</v>
      </c>
      <c r="C61" s="288" t="s">
        <v>941</v>
      </c>
    </row>
    <row r="62" spans="1:7" x14ac:dyDescent="0.25">
      <c r="A62" s="285" t="s">
        <v>931</v>
      </c>
      <c r="B62" s="301">
        <f>'Table 6'!J44</f>
        <v>74988.862155869341</v>
      </c>
      <c r="C62" s="287"/>
      <c r="E62" t="s">
        <v>946</v>
      </c>
      <c r="F62" s="294">
        <f>B62+B63+B64+B65+B69</f>
        <v>225715.48796965339</v>
      </c>
    </row>
    <row r="63" spans="1:7" x14ac:dyDescent="0.25">
      <c r="A63" s="285" t="s">
        <v>932</v>
      </c>
      <c r="B63" s="301">
        <f>'Table 6'!J78</f>
        <v>106566.40864643559</v>
      </c>
      <c r="C63" s="287"/>
      <c r="E63" t="s">
        <v>947</v>
      </c>
      <c r="F63" s="294">
        <f>B67+B66+B68</f>
        <v>1756.0176122062735</v>
      </c>
    </row>
    <row r="64" spans="1:7" x14ac:dyDescent="0.25">
      <c r="A64" s="285" t="s">
        <v>933</v>
      </c>
      <c r="B64" s="301">
        <f>'Table 6'!J101</f>
        <v>42013.973419096365</v>
      </c>
      <c r="C64" s="287"/>
      <c r="F64" s="294">
        <f>F62+F63+B70</f>
        <v>228563.16548027081</v>
      </c>
    </row>
    <row r="65" spans="1:7" x14ac:dyDescent="0.25">
      <c r="A65" s="285" t="s">
        <v>934</v>
      </c>
      <c r="B65" s="301">
        <f>'Table 6'!J104</f>
        <v>2146.2437482521123</v>
      </c>
      <c r="C65" s="287"/>
    </row>
    <row r="66" spans="1:7" x14ac:dyDescent="0.25">
      <c r="A66" s="285" t="s">
        <v>935</v>
      </c>
      <c r="B66" s="301">
        <f>'Table 6'!J115</f>
        <v>1756.0176122062735</v>
      </c>
      <c r="C66" s="287"/>
    </row>
    <row r="67" spans="1:7" x14ac:dyDescent="0.25">
      <c r="A67" s="285" t="s">
        <v>50</v>
      </c>
      <c r="B67" s="301">
        <f>'Table 6'!J139</f>
        <v>0</v>
      </c>
      <c r="C67" s="287" t="s">
        <v>990</v>
      </c>
      <c r="G67" s="297"/>
    </row>
    <row r="68" spans="1:7" x14ac:dyDescent="0.25">
      <c r="A68" s="285" t="s">
        <v>936</v>
      </c>
      <c r="B68" s="301">
        <f>'Table 6'!J158</f>
        <v>0</v>
      </c>
      <c r="C68" s="287" t="s">
        <v>990</v>
      </c>
    </row>
    <row r="69" spans="1:7" x14ac:dyDescent="0.25">
      <c r="A69" s="285" t="s">
        <v>937</v>
      </c>
      <c r="B69" s="301">
        <f>'Table 6'!J158</f>
        <v>0</v>
      </c>
      <c r="C69" s="287"/>
    </row>
    <row r="70" spans="1:7" x14ac:dyDescent="0.25">
      <c r="A70" s="285" t="s">
        <v>938</v>
      </c>
      <c r="B70" s="301">
        <f>'Table 6'!J164</f>
        <v>1091.6598984111292</v>
      </c>
      <c r="C70" s="287"/>
    </row>
    <row r="71" spans="1:7" s="286" customFormat="1" x14ac:dyDescent="0.25">
      <c r="A71" s="289" t="s">
        <v>213</v>
      </c>
      <c r="B71" s="305">
        <f>SUM(B62:B70)</f>
        <v>228563.16548027081</v>
      </c>
      <c r="C71" s="295" t="s">
        <v>990</v>
      </c>
    </row>
  </sheetData>
  <sheetProtection algorithmName="SHA-512" hashValue="r4QBd/we8+ExQ3hiNAKgXdTz6tbUZkLLtbzu1t9sCYM7TWNKsZKXIwmuJoV2Dqx5UIf7GnddEWlxv2qqOEi2Ig==" saltValue="fA0j2gpH7ByEH4FSqfxefQ==" spinCount="100000" sheet="1" objects="1" scenarios="1"/>
  <mergeCells count="1">
    <mergeCell ref="E55:E5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F6F3-046C-4459-A446-022A7A556848}">
  <dimension ref="A1:N21"/>
  <sheetViews>
    <sheetView tabSelected="1" workbookViewId="0">
      <selection activeCell="N18" sqref="N18"/>
    </sheetView>
  </sheetViews>
  <sheetFormatPr defaultRowHeight="15" x14ac:dyDescent="0.25"/>
  <cols>
    <col min="1" max="1" width="15.28515625" bestFit="1" customWidth="1"/>
    <col min="10" max="10" width="14.28515625" style="297" bestFit="1" customWidth="1"/>
    <col min="12" max="12" width="15.28515625" style="297" bestFit="1" customWidth="1"/>
  </cols>
  <sheetData>
    <row r="1" spans="1:14" x14ac:dyDescent="0.25">
      <c r="A1" t="s">
        <v>948</v>
      </c>
    </row>
    <row r="3" spans="1:14" x14ac:dyDescent="0.25">
      <c r="A3" s="294">
        <f>('Table 4'!F120*70%)+'Table 4'!F123+'Table 4'!F126+'Table 4'!F129+'Table 4'!F132+'Table 4'!F138</f>
        <v>6668837.0899999999</v>
      </c>
      <c r="C3" t="s">
        <v>949</v>
      </c>
      <c r="G3" t="s">
        <v>951</v>
      </c>
      <c r="I3" t="s">
        <v>952</v>
      </c>
      <c r="J3" s="297">
        <f>'Table 4'!F120</f>
        <v>723419</v>
      </c>
      <c r="K3" s="296">
        <v>0.3</v>
      </c>
      <c r="L3" s="297">
        <f>J3*70%</f>
        <v>506393.3</v>
      </c>
      <c r="N3" s="294">
        <f>L3/25030</f>
        <v>20.231454254894128</v>
      </c>
    </row>
    <row r="4" spans="1:14" x14ac:dyDescent="0.25">
      <c r="A4" s="294">
        <f>('Table 4'!F142*70%)+'Table 4'!F144+'Table 4'!F146+'Table 4'!F148+'Table 4'!F150+'Table 4'!F152+'Table 4'!F154+'Table 4'!F157</f>
        <v>15181943.459999999</v>
      </c>
      <c r="C4" t="s">
        <v>950</v>
      </c>
      <c r="I4" t="s">
        <v>953</v>
      </c>
      <c r="J4" s="297">
        <f>'Table 4'!F123</f>
        <v>1389726</v>
      </c>
      <c r="L4" s="297">
        <f>J4</f>
        <v>1389726</v>
      </c>
      <c r="N4" s="294">
        <f t="shared" ref="N4:N9" si="0">L4/25030</f>
        <v>55.522413104274868</v>
      </c>
    </row>
    <row r="5" spans="1:14" x14ac:dyDescent="0.25">
      <c r="A5" s="294">
        <f>A3+A4</f>
        <v>21850780.549999997</v>
      </c>
      <c r="I5" t="s">
        <v>954</v>
      </c>
      <c r="J5" s="297">
        <f>'Table 4'!F126</f>
        <v>723419</v>
      </c>
      <c r="L5" s="297">
        <f t="shared" ref="L5:L8" si="1">J5</f>
        <v>723419</v>
      </c>
      <c r="N5" s="294">
        <f t="shared" si="0"/>
        <v>28.90207750699161</v>
      </c>
    </row>
    <row r="6" spans="1:14" x14ac:dyDescent="0.25">
      <c r="I6" t="s">
        <v>955</v>
      </c>
      <c r="J6" s="297">
        <f>'Table 4'!F129</f>
        <v>723419</v>
      </c>
      <c r="L6" s="297">
        <f t="shared" si="1"/>
        <v>723419</v>
      </c>
      <c r="N6" s="294">
        <f t="shared" si="0"/>
        <v>28.90207750699161</v>
      </c>
    </row>
    <row r="7" spans="1:14" x14ac:dyDescent="0.25">
      <c r="I7" t="s">
        <v>956</v>
      </c>
      <c r="J7" s="297">
        <f>'Table 4'!F132</f>
        <v>1389726</v>
      </c>
      <c r="L7" s="297">
        <f t="shared" si="1"/>
        <v>1389726</v>
      </c>
      <c r="N7" s="294">
        <f t="shared" si="0"/>
        <v>55.522413104274868</v>
      </c>
    </row>
    <row r="8" spans="1:14" x14ac:dyDescent="0.25">
      <c r="I8" t="s">
        <v>957</v>
      </c>
      <c r="J8" s="297">
        <f>'Table 4'!F138</f>
        <v>1936153.79</v>
      </c>
      <c r="L8" s="297">
        <f t="shared" si="1"/>
        <v>1936153.79</v>
      </c>
      <c r="N8" s="294">
        <f t="shared" si="0"/>
        <v>77.353327606871758</v>
      </c>
    </row>
    <row r="9" spans="1:14" x14ac:dyDescent="0.25">
      <c r="L9" s="297">
        <f>SUM(L3:L8)</f>
        <v>6668837.0899999999</v>
      </c>
      <c r="N9" s="294">
        <f t="shared" si="0"/>
        <v>266.43376308429885</v>
      </c>
    </row>
    <row r="11" spans="1:14" x14ac:dyDescent="0.25">
      <c r="I11" t="s">
        <v>475</v>
      </c>
      <c r="J11" s="297">
        <f>'Table 4'!F142</f>
        <v>1762413</v>
      </c>
      <c r="K11" s="296">
        <v>0.3</v>
      </c>
      <c r="L11" s="297">
        <f>J11*70%</f>
        <v>1233689.0999999999</v>
      </c>
      <c r="N11" s="294">
        <f>L11/25030</f>
        <v>49.288417898521772</v>
      </c>
    </row>
    <row r="12" spans="1:14" x14ac:dyDescent="0.25">
      <c r="I12" t="s">
        <v>477</v>
      </c>
      <c r="J12" s="297">
        <f>'Table 4'!F144</f>
        <v>1762413</v>
      </c>
      <c r="L12" s="297">
        <f>J12</f>
        <v>1762413</v>
      </c>
      <c r="N12" s="294">
        <f t="shared" ref="N12:N19" si="2">L12/25030</f>
        <v>70.412025569316825</v>
      </c>
    </row>
    <row r="13" spans="1:14" x14ac:dyDescent="0.25">
      <c r="I13" t="s">
        <v>479</v>
      </c>
      <c r="J13" s="297">
        <f>'Table 4'!F146</f>
        <v>1762413</v>
      </c>
      <c r="L13" s="297">
        <f t="shared" ref="L13:L18" si="3">J13</f>
        <v>1762413</v>
      </c>
      <c r="N13" s="294">
        <f t="shared" si="2"/>
        <v>70.412025569316825</v>
      </c>
    </row>
    <row r="14" spans="1:14" x14ac:dyDescent="0.25">
      <c r="I14" t="s">
        <v>481</v>
      </c>
      <c r="J14" s="297">
        <f>'Table 4'!F148</f>
        <v>3524826</v>
      </c>
      <c r="L14" s="297">
        <f t="shared" si="3"/>
        <v>3524826</v>
      </c>
      <c r="N14" s="294">
        <f t="shared" si="2"/>
        <v>140.82405113863365</v>
      </c>
    </row>
    <row r="15" spans="1:14" x14ac:dyDescent="0.25">
      <c r="I15" t="s">
        <v>483</v>
      </c>
      <c r="J15" s="297">
        <f>'Table 4'!F150</f>
        <v>1762413</v>
      </c>
      <c r="L15" s="297">
        <f t="shared" si="3"/>
        <v>1762413</v>
      </c>
      <c r="N15" s="294">
        <f t="shared" si="2"/>
        <v>70.412025569316825</v>
      </c>
    </row>
    <row r="16" spans="1:14" x14ac:dyDescent="0.25">
      <c r="I16" t="s">
        <v>485</v>
      </c>
      <c r="J16" s="297">
        <f>'Table 4'!F152</f>
        <v>1762413</v>
      </c>
      <c r="L16" s="297">
        <f t="shared" si="3"/>
        <v>1762413</v>
      </c>
      <c r="N16" s="294">
        <f t="shared" si="2"/>
        <v>70.412025569316825</v>
      </c>
    </row>
    <row r="17" spans="9:14" x14ac:dyDescent="0.25">
      <c r="I17" t="s">
        <v>487</v>
      </c>
      <c r="J17" s="297">
        <f>'Table 4'!F154</f>
        <v>1762413</v>
      </c>
      <c r="L17" s="297">
        <f t="shared" si="3"/>
        <v>1762413</v>
      </c>
      <c r="N17" s="294">
        <f t="shared" si="2"/>
        <v>70.412025569316825</v>
      </c>
    </row>
    <row r="18" spans="9:14" x14ac:dyDescent="0.25">
      <c r="I18" t="s">
        <v>490</v>
      </c>
      <c r="J18" s="297">
        <f>'Table 4'!F157</f>
        <v>1611363.36</v>
      </c>
      <c r="L18" s="297">
        <f t="shared" si="3"/>
        <v>1611363.36</v>
      </c>
      <c r="N18" s="294">
        <f t="shared" si="2"/>
        <v>64.377281662005601</v>
      </c>
    </row>
    <row r="19" spans="9:14" x14ac:dyDescent="0.25">
      <c r="L19" s="297">
        <f>SUM(L11:L18)</f>
        <v>15181943.459999999</v>
      </c>
      <c r="N19" s="294">
        <f t="shared" si="2"/>
        <v>606.54987854574506</v>
      </c>
    </row>
    <row r="21" spans="9:14" x14ac:dyDescent="0.25">
      <c r="L21" s="297">
        <f>L9+L19</f>
        <v>21850780.549999997</v>
      </c>
      <c r="N21" s="294">
        <f>N9+N19</f>
        <v>872.98364163004385</v>
      </c>
    </row>
  </sheetData>
  <sheetProtection algorithmName="SHA-512" hashValue="xgS/L4hmh5QNzhvXXIld9lwODOesRrj82mZVtkwaB29ua1Hj3SgxbAXCR4WXrult5NfA0Q8MnWLTqJNXwpXmBw==" saltValue="T6RwzlVaBU0AxqWqq7zrNQ==" spinCount="100000" sheet="1" objects="1" scenarios="1"/>
  <phoneticPr fontId="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ACBD2-44E9-4110-A225-D742FD05497B}">
  <dimension ref="A1:I30"/>
  <sheetViews>
    <sheetView topLeftCell="A13" workbookViewId="0">
      <selection activeCell="A12" sqref="A12"/>
    </sheetView>
  </sheetViews>
  <sheetFormatPr defaultRowHeight="12.75" x14ac:dyDescent="0.25"/>
  <cols>
    <col min="1" max="1" width="9.140625" style="255"/>
    <col min="2" max="2" width="73.42578125" style="256" customWidth="1"/>
    <col min="3" max="3" width="28" style="256" customWidth="1"/>
    <col min="4" max="4" width="18.5703125" style="255" customWidth="1"/>
    <col min="5" max="6" width="9.140625" style="255"/>
    <col min="7" max="7" width="63.7109375" style="256" customWidth="1"/>
    <col min="8" max="9" width="19.5703125" style="255" customWidth="1"/>
    <col min="10" max="16384" width="9.140625" style="255"/>
  </cols>
  <sheetData>
    <row r="1" spans="1:9" ht="33.75" x14ac:dyDescent="0.25">
      <c r="A1" s="274" t="s">
        <v>800</v>
      </c>
    </row>
    <row r="3" spans="1:9" s="273" customFormat="1" ht="23.25" x14ac:dyDescent="0.25">
      <c r="A3" s="271" t="s">
        <v>832</v>
      </c>
      <c r="B3" s="272"/>
      <c r="C3" s="272"/>
      <c r="F3" s="271" t="s">
        <v>801</v>
      </c>
      <c r="G3" s="272"/>
    </row>
    <row r="5" spans="1:9" s="258" customFormat="1" ht="25.5" x14ac:dyDescent="0.25">
      <c r="A5" s="257" t="s">
        <v>802</v>
      </c>
      <c r="B5" s="257" t="s">
        <v>803</v>
      </c>
      <c r="C5" s="257" t="s">
        <v>821</v>
      </c>
      <c r="D5" s="257" t="s">
        <v>804</v>
      </c>
      <c r="F5" s="257" t="s">
        <v>802</v>
      </c>
      <c r="G5" s="257" t="s">
        <v>803</v>
      </c>
      <c r="H5" s="257" t="s">
        <v>842</v>
      </c>
      <c r="I5" s="257" t="s">
        <v>843</v>
      </c>
    </row>
    <row r="6" spans="1:9" s="258" customFormat="1" x14ac:dyDescent="0.25">
      <c r="A6" s="257"/>
      <c r="B6" s="257"/>
      <c r="C6" s="257"/>
      <c r="D6" s="257"/>
      <c r="F6" s="275"/>
      <c r="G6" s="275"/>
      <c r="H6" s="275"/>
      <c r="I6" s="257"/>
    </row>
    <row r="7" spans="1:9" ht="38.25" x14ac:dyDescent="0.25">
      <c r="A7" s="269" t="str">
        <f>'1.4.3 Transport'!A8</f>
        <v xml:space="preserve">RD06 </v>
      </c>
      <c r="B7" s="263" t="s">
        <v>818</v>
      </c>
      <c r="C7" s="260" t="s">
        <v>819</v>
      </c>
      <c r="D7" s="262">
        <v>4506671</v>
      </c>
      <c r="F7" s="257" t="s">
        <v>511</v>
      </c>
      <c r="G7" s="263" t="s">
        <v>828</v>
      </c>
      <c r="H7" s="262">
        <v>699345</v>
      </c>
      <c r="I7" s="262">
        <f>H7</f>
        <v>699345</v>
      </c>
    </row>
    <row r="8" spans="1:9" ht="38.25" x14ac:dyDescent="0.25">
      <c r="A8" s="269" t="s">
        <v>428</v>
      </c>
      <c r="B8" s="264" t="s">
        <v>817</v>
      </c>
      <c r="C8" s="261" t="s">
        <v>820</v>
      </c>
      <c r="D8" s="262">
        <v>1842205</v>
      </c>
      <c r="F8" s="257" t="s">
        <v>512</v>
      </c>
      <c r="G8" s="263" t="s">
        <v>829</v>
      </c>
      <c r="H8" s="262">
        <v>895730</v>
      </c>
      <c r="I8" s="262">
        <f t="shared" ref="I8:I9" si="0">H8</f>
        <v>895730</v>
      </c>
    </row>
    <row r="9" spans="1:9" ht="38.25" x14ac:dyDescent="0.25">
      <c r="A9" s="269" t="s">
        <v>395</v>
      </c>
      <c r="B9" s="264" t="s">
        <v>816</v>
      </c>
      <c r="C9" s="261" t="s">
        <v>820</v>
      </c>
      <c r="D9" s="262">
        <v>2655316</v>
      </c>
      <c r="F9" s="257" t="s">
        <v>513</v>
      </c>
      <c r="G9" s="263" t="s">
        <v>830</v>
      </c>
      <c r="H9" s="262">
        <v>474078</v>
      </c>
      <c r="I9" s="262">
        <f t="shared" si="0"/>
        <v>474078</v>
      </c>
    </row>
    <row r="10" spans="1:9" ht="51" x14ac:dyDescent="0.25">
      <c r="A10" s="269" t="s">
        <v>397</v>
      </c>
      <c r="B10" s="264" t="s">
        <v>822</v>
      </c>
      <c r="C10" s="261" t="s">
        <v>825</v>
      </c>
      <c r="D10" s="262">
        <v>3959120</v>
      </c>
      <c r="F10" s="269" t="s">
        <v>503</v>
      </c>
      <c r="G10" s="263" t="s">
        <v>838</v>
      </c>
      <c r="H10" s="259"/>
      <c r="I10" s="259"/>
    </row>
    <row r="11" spans="1:9" ht="38.25" x14ac:dyDescent="0.2">
      <c r="A11" s="269" t="str">
        <f>'1.4.3 Transport'!A23</f>
        <v xml:space="preserve">RD21 </v>
      </c>
      <c r="B11" s="265" t="s">
        <v>815</v>
      </c>
      <c r="C11" s="260" t="s">
        <v>819</v>
      </c>
      <c r="D11" s="262">
        <v>2435466</v>
      </c>
      <c r="F11" s="257" t="s">
        <v>504</v>
      </c>
      <c r="G11" s="263" t="s">
        <v>831</v>
      </c>
      <c r="H11" s="262">
        <v>1936132</v>
      </c>
      <c r="I11" s="262">
        <f>H11</f>
        <v>1936132</v>
      </c>
    </row>
    <row r="12" spans="1:9" ht="25.5" x14ac:dyDescent="0.2">
      <c r="A12" s="269" t="s">
        <v>439</v>
      </c>
      <c r="B12" s="265" t="s">
        <v>826</v>
      </c>
      <c r="C12" s="261" t="s">
        <v>827</v>
      </c>
      <c r="D12" s="262">
        <v>2809888</v>
      </c>
      <c r="F12" s="257" t="s">
        <v>505</v>
      </c>
      <c r="G12" s="263" t="s">
        <v>833</v>
      </c>
      <c r="H12" s="262">
        <v>1675114</v>
      </c>
      <c r="I12" s="262">
        <f t="shared" ref="I12" si="1">H12</f>
        <v>1675114</v>
      </c>
    </row>
    <row r="13" spans="1:9" ht="38.25" x14ac:dyDescent="0.2">
      <c r="A13" s="269" t="s">
        <v>440</v>
      </c>
      <c r="B13" s="265" t="s">
        <v>814</v>
      </c>
      <c r="C13" s="261" t="s">
        <v>820</v>
      </c>
      <c r="D13" s="262">
        <v>516979</v>
      </c>
      <c r="F13" s="257" t="s">
        <v>506</v>
      </c>
      <c r="G13" s="263" t="s">
        <v>834</v>
      </c>
      <c r="H13" s="262">
        <v>873861</v>
      </c>
      <c r="I13" s="262">
        <v>2621582</v>
      </c>
    </row>
    <row r="14" spans="1:9" ht="38.25" x14ac:dyDescent="0.2">
      <c r="A14" s="269" t="s">
        <v>441</v>
      </c>
      <c r="B14" s="265" t="s">
        <v>813</v>
      </c>
      <c r="C14" s="261" t="s">
        <v>820</v>
      </c>
      <c r="D14" s="262">
        <v>516979</v>
      </c>
      <c r="F14" s="269" t="s">
        <v>507</v>
      </c>
      <c r="G14" s="263" t="s">
        <v>839</v>
      </c>
      <c r="H14" s="262">
        <v>9133008</v>
      </c>
      <c r="I14" s="262">
        <v>11157454</v>
      </c>
    </row>
    <row r="15" spans="1:9" ht="38.25" x14ac:dyDescent="0.2">
      <c r="A15" s="269" t="s">
        <v>442</v>
      </c>
      <c r="B15" s="265" t="s">
        <v>823</v>
      </c>
      <c r="C15" s="261" t="s">
        <v>825</v>
      </c>
      <c r="D15" s="262">
        <v>666771</v>
      </c>
      <c r="F15" s="269" t="s">
        <v>508</v>
      </c>
      <c r="G15" s="263" t="s">
        <v>840</v>
      </c>
      <c r="H15" s="262">
        <v>11041344</v>
      </c>
      <c r="I15" s="259"/>
    </row>
    <row r="16" spans="1:9" ht="38.25" x14ac:dyDescent="0.2">
      <c r="A16" s="269" t="s">
        <v>450</v>
      </c>
      <c r="B16" s="265" t="s">
        <v>824</v>
      </c>
      <c r="C16" s="261" t="s">
        <v>825</v>
      </c>
      <c r="D16" s="262">
        <v>535778</v>
      </c>
      <c r="F16" s="257" t="s">
        <v>509</v>
      </c>
      <c r="G16" s="263" t="s">
        <v>835</v>
      </c>
      <c r="H16" s="262">
        <v>3719151</v>
      </c>
      <c r="I16" s="259"/>
    </row>
    <row r="17" spans="1:9" ht="51" x14ac:dyDescent="0.2">
      <c r="A17" s="269" t="s">
        <v>468</v>
      </c>
      <c r="B17" s="265" t="s">
        <v>812</v>
      </c>
      <c r="C17" s="261" t="s">
        <v>820</v>
      </c>
      <c r="D17" s="262">
        <v>2973499</v>
      </c>
      <c r="F17" s="257" t="s">
        <v>510</v>
      </c>
      <c r="G17" s="263" t="s">
        <v>836</v>
      </c>
      <c r="H17" s="262">
        <v>157017</v>
      </c>
      <c r="I17" s="262">
        <v>471052</v>
      </c>
    </row>
    <row r="18" spans="1:9" ht="51" x14ac:dyDescent="0.2">
      <c r="A18" s="269" t="s">
        <v>470</v>
      </c>
      <c r="B18" s="265" t="s">
        <v>811</v>
      </c>
      <c r="C18" s="261" t="s">
        <v>820</v>
      </c>
      <c r="D18" s="262">
        <v>2973499</v>
      </c>
      <c r="F18" s="257" t="s">
        <v>517</v>
      </c>
      <c r="G18" s="263" t="s">
        <v>837</v>
      </c>
      <c r="H18" s="262">
        <v>393750</v>
      </c>
      <c r="I18" s="262">
        <v>131250</v>
      </c>
    </row>
    <row r="19" spans="1:9" ht="38.25" x14ac:dyDescent="0.2">
      <c r="A19" s="269" t="s">
        <v>471</v>
      </c>
      <c r="B19" s="265" t="s">
        <v>810</v>
      </c>
      <c r="C19" s="261" t="s">
        <v>820</v>
      </c>
      <c r="D19" s="262">
        <v>1384668</v>
      </c>
      <c r="F19" s="259"/>
      <c r="G19" s="263"/>
      <c r="H19" s="262"/>
      <c r="I19" s="259"/>
    </row>
    <row r="20" spans="1:9" ht="38.25" x14ac:dyDescent="0.2">
      <c r="A20" s="269" t="s">
        <v>472</v>
      </c>
      <c r="B20" s="265" t="s">
        <v>809</v>
      </c>
      <c r="C20" s="261" t="s">
        <v>820</v>
      </c>
      <c r="D20" s="262">
        <v>1384668</v>
      </c>
      <c r="F20" s="259"/>
      <c r="G20" s="263"/>
      <c r="H20" s="277"/>
      <c r="I20" s="259"/>
    </row>
    <row r="21" spans="1:9" s="266" customFormat="1" x14ac:dyDescent="0.25">
      <c r="B21" s="258"/>
      <c r="C21" s="258"/>
      <c r="D21" s="267">
        <f>SUM(D7:D20)</f>
        <v>29161507</v>
      </c>
      <c r="G21" s="258"/>
      <c r="H21" s="268">
        <f>SUM(H7:H20)</f>
        <v>30998530</v>
      </c>
      <c r="I21" s="276">
        <f>SUM(I7:I20)</f>
        <v>20061737</v>
      </c>
    </row>
    <row r="23" spans="1:9" x14ac:dyDescent="0.25">
      <c r="A23" s="270" t="s">
        <v>841</v>
      </c>
    </row>
    <row r="25" spans="1:9" ht="25.5" x14ac:dyDescent="0.25">
      <c r="A25" s="257" t="s">
        <v>802</v>
      </c>
      <c r="B25" s="257" t="s">
        <v>803</v>
      </c>
      <c r="C25" s="257" t="s">
        <v>821</v>
      </c>
      <c r="D25" s="257" t="s">
        <v>804</v>
      </c>
    </row>
    <row r="26" spans="1:9" ht="38.25" x14ac:dyDescent="0.25">
      <c r="A26" s="269" t="str">
        <f>'1.4.5 Community Facilities'!A2</f>
        <v xml:space="preserve">CI01 </v>
      </c>
      <c r="B26" s="263" t="s">
        <v>808</v>
      </c>
      <c r="C26" s="260" t="s">
        <v>819</v>
      </c>
      <c r="D26" s="262">
        <v>9800000</v>
      </c>
    </row>
    <row r="27" spans="1:9" ht="25.5" x14ac:dyDescent="0.25">
      <c r="A27" s="269" t="str">
        <f>'1.4.5 Community Facilities'!A3</f>
        <v xml:space="preserve">CI02 </v>
      </c>
      <c r="B27" s="263" t="s">
        <v>807</v>
      </c>
      <c r="C27" s="260" t="s">
        <v>819</v>
      </c>
      <c r="D27" s="262">
        <v>6500000</v>
      </c>
    </row>
    <row r="28" spans="1:9" ht="51" x14ac:dyDescent="0.25">
      <c r="A28" s="269" t="str">
        <f>'1.4.5 Community Facilities'!A21</f>
        <v xml:space="preserve">CI19A </v>
      </c>
      <c r="B28" s="263" t="s">
        <v>805</v>
      </c>
      <c r="C28" s="260" t="s">
        <v>819</v>
      </c>
      <c r="D28" s="262">
        <v>1440000</v>
      </c>
    </row>
    <row r="29" spans="1:9" ht="51" x14ac:dyDescent="0.25">
      <c r="A29" s="269" t="str">
        <f>'1.4.5 Community Facilities'!A22</f>
        <v xml:space="preserve">CI19B </v>
      </c>
      <c r="B29" s="263" t="s">
        <v>806</v>
      </c>
      <c r="C29" s="260" t="s">
        <v>819</v>
      </c>
      <c r="D29" s="262">
        <v>960000</v>
      </c>
    </row>
    <row r="30" spans="1:9" x14ac:dyDescent="0.25">
      <c r="D30" s="276">
        <f>SUM(D26:D29)</f>
        <v>18700000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sqref="A1:XFD1048576"/>
    </sheetView>
  </sheetViews>
  <sheetFormatPr defaultRowHeight="15" x14ac:dyDescent="0.25"/>
  <cols>
    <col min="1" max="1" width="12.28515625" style="201" customWidth="1"/>
    <col min="2" max="2" width="50.5703125" style="431" bestFit="1" customWidth="1"/>
    <col min="3" max="3" width="9.140625" style="431"/>
    <col min="4" max="4" width="12" style="431" bestFit="1" customWidth="1"/>
    <col min="5" max="5" width="44.42578125" style="201" bestFit="1" customWidth="1"/>
    <col min="7" max="16384" width="9.140625" style="50"/>
  </cols>
  <sheetData>
    <row r="1" spans="1:5" ht="24" x14ac:dyDescent="0.25">
      <c r="A1" s="459" t="s">
        <v>526</v>
      </c>
      <c r="B1" s="459" t="s">
        <v>527</v>
      </c>
      <c r="D1" s="55" t="s">
        <v>780</v>
      </c>
      <c r="E1" s="55" t="s">
        <v>628</v>
      </c>
    </row>
    <row r="2" spans="1:5" s="233" customFormat="1" ht="24" x14ac:dyDescent="0.25">
      <c r="A2" s="234" t="s">
        <v>304</v>
      </c>
      <c r="B2" s="326" t="s">
        <v>595</v>
      </c>
      <c r="C2" s="460"/>
      <c r="D2" s="234" t="s">
        <v>738</v>
      </c>
      <c r="E2" s="67" t="s">
        <v>627</v>
      </c>
    </row>
  </sheetData>
  <sheetProtection algorithmName="SHA-512" hashValue="soCXK8MdvRCIqxNijUrklwq481rO94WBKRlR5iCs8JeaxWu0Gs7e4k1m+wI0wYUjfte4W4zBr2Vjl04oAnZHOQ==" saltValue="bnf3YAbX7MVKLEbrOma+U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workbookViewId="0">
      <selection sqref="A1:XFD1048576"/>
    </sheetView>
  </sheetViews>
  <sheetFormatPr defaultRowHeight="15" x14ac:dyDescent="0.25"/>
  <cols>
    <col min="1" max="1" width="9.140625" style="201" bestFit="1" customWidth="1"/>
    <col min="2" max="2" width="69.140625" style="375" bestFit="1" customWidth="1"/>
    <col min="3" max="3" width="9.140625" style="431"/>
    <col min="4" max="4" width="35.5703125" style="201" bestFit="1" customWidth="1"/>
    <col min="5" max="5" width="44.42578125" style="54" bestFit="1" customWidth="1"/>
    <col min="6" max="6" width="44.7109375" style="54" bestFit="1" customWidth="1"/>
    <col min="7" max="7" width="44.42578125" style="431" bestFit="1" customWidth="1"/>
    <col min="9" max="16384" width="9.140625" style="51"/>
  </cols>
  <sheetData>
    <row r="1" spans="1:8" ht="24" x14ac:dyDescent="0.25">
      <c r="A1" s="459" t="s">
        <v>526</v>
      </c>
      <c r="B1" s="459" t="s">
        <v>527</v>
      </c>
      <c r="D1" s="55" t="s">
        <v>780</v>
      </c>
      <c r="E1" s="55" t="s">
        <v>628</v>
      </c>
      <c r="F1" s="55" t="s">
        <v>686</v>
      </c>
      <c r="G1" s="55" t="s">
        <v>687</v>
      </c>
    </row>
    <row r="2" spans="1:8" s="233" customFormat="1" ht="36" x14ac:dyDescent="0.25">
      <c r="A2" s="234" t="s">
        <v>306</v>
      </c>
      <c r="B2" s="326" t="s">
        <v>596</v>
      </c>
      <c r="C2" s="460"/>
      <c r="D2" s="234" t="s">
        <v>775</v>
      </c>
      <c r="E2" s="67" t="s">
        <v>627</v>
      </c>
      <c r="F2" s="67"/>
      <c r="G2" s="234" t="s">
        <v>750</v>
      </c>
      <c r="H2" s="324"/>
    </row>
    <row r="3" spans="1:8" s="233" customFormat="1" ht="24" x14ac:dyDescent="0.25">
      <c r="A3" s="234" t="s">
        <v>308</v>
      </c>
      <c r="B3" s="326" t="s">
        <v>597</v>
      </c>
      <c r="C3" s="460"/>
      <c r="D3" s="234" t="s">
        <v>514</v>
      </c>
      <c r="E3" s="67" t="s">
        <v>627</v>
      </c>
      <c r="F3" s="67"/>
      <c r="G3" s="234" t="s">
        <v>750</v>
      </c>
      <c r="H3" s="324"/>
    </row>
    <row r="4" spans="1:8" s="233" customFormat="1" ht="48" x14ac:dyDescent="0.25">
      <c r="A4" s="234" t="s">
        <v>499</v>
      </c>
      <c r="B4" s="326" t="s">
        <v>605</v>
      </c>
      <c r="C4" s="460"/>
      <c r="D4" s="234" t="s">
        <v>746</v>
      </c>
      <c r="E4" s="67" t="s">
        <v>627</v>
      </c>
      <c r="F4" s="67" t="s">
        <v>684</v>
      </c>
      <c r="G4" s="461"/>
    </row>
    <row r="5" spans="1:8" s="233" customFormat="1" ht="36" x14ac:dyDescent="0.25">
      <c r="A5" s="234" t="s">
        <v>500</v>
      </c>
      <c r="B5" s="326" t="s">
        <v>606</v>
      </c>
      <c r="C5" s="460"/>
      <c r="D5" s="234" t="s">
        <v>775</v>
      </c>
      <c r="E5" s="67" t="s">
        <v>627</v>
      </c>
      <c r="F5" s="67" t="s">
        <v>684</v>
      </c>
      <c r="G5" s="461"/>
      <c r="H5" s="324"/>
    </row>
    <row r="6" spans="1:8" s="233" customFormat="1" ht="24" x14ac:dyDescent="0.25">
      <c r="A6" s="234" t="s">
        <v>518</v>
      </c>
      <c r="B6" s="326" t="s">
        <v>630</v>
      </c>
      <c r="C6" s="460"/>
      <c r="D6" s="67" t="s">
        <v>778</v>
      </c>
      <c r="E6" s="67" t="s">
        <v>778</v>
      </c>
      <c r="F6" s="67"/>
      <c r="G6" s="461"/>
    </row>
    <row r="7" spans="1:8" s="233" customFormat="1" ht="48" x14ac:dyDescent="0.25">
      <c r="A7" s="234" t="s">
        <v>501</v>
      </c>
      <c r="B7" s="326" t="s">
        <v>607</v>
      </c>
      <c r="C7" s="460"/>
      <c r="D7" s="234" t="s">
        <v>775</v>
      </c>
      <c r="E7" s="67" t="s">
        <v>627</v>
      </c>
      <c r="F7" s="67" t="s">
        <v>685</v>
      </c>
      <c r="G7" s="67" t="s">
        <v>688</v>
      </c>
      <c r="H7" s="324"/>
    </row>
    <row r="8" spans="1:8" s="233" customFormat="1" ht="36" x14ac:dyDescent="0.25">
      <c r="A8" s="234" t="s">
        <v>315</v>
      </c>
      <c r="B8" s="326" t="s">
        <v>608</v>
      </c>
      <c r="C8" s="460"/>
      <c r="D8" s="234" t="s">
        <v>775</v>
      </c>
      <c r="E8" s="67" t="s">
        <v>627</v>
      </c>
      <c r="F8" s="67" t="s">
        <v>685</v>
      </c>
      <c r="G8" s="67" t="s">
        <v>688</v>
      </c>
      <c r="H8" s="324"/>
    </row>
    <row r="9" spans="1:8" s="233" customFormat="1" ht="24" x14ac:dyDescent="0.25">
      <c r="A9" s="234" t="s">
        <v>519</v>
      </c>
      <c r="B9" s="326" t="s">
        <v>630</v>
      </c>
      <c r="C9" s="460"/>
      <c r="D9" s="67" t="s">
        <v>778</v>
      </c>
      <c r="E9" s="67" t="s">
        <v>778</v>
      </c>
      <c r="F9" s="67"/>
      <c r="G9" s="461"/>
    </row>
    <row r="10" spans="1:8" s="233" customFormat="1" ht="48" x14ac:dyDescent="0.25">
      <c r="A10" s="234" t="s">
        <v>316</v>
      </c>
      <c r="B10" s="326" t="s">
        <v>609</v>
      </c>
      <c r="C10" s="460"/>
      <c r="D10" s="234" t="s">
        <v>775</v>
      </c>
      <c r="E10" s="67" t="s">
        <v>627</v>
      </c>
      <c r="F10" s="67" t="s">
        <v>684</v>
      </c>
      <c r="G10" s="461"/>
      <c r="H10" s="324"/>
    </row>
    <row r="11" spans="1:8" s="233" customFormat="1" ht="36" x14ac:dyDescent="0.25">
      <c r="A11" s="234" t="s">
        <v>318</v>
      </c>
      <c r="B11" s="326" t="s">
        <v>610</v>
      </c>
      <c r="C11" s="460"/>
      <c r="D11" s="234" t="s">
        <v>775</v>
      </c>
      <c r="E11" s="67" t="s">
        <v>627</v>
      </c>
      <c r="F11" s="67" t="s">
        <v>684</v>
      </c>
      <c r="G11" s="461"/>
      <c r="H11" s="324"/>
    </row>
    <row r="12" spans="1:8" s="233" customFormat="1" ht="24" x14ac:dyDescent="0.25">
      <c r="A12" s="234" t="s">
        <v>520</v>
      </c>
      <c r="B12" s="326" t="s">
        <v>630</v>
      </c>
      <c r="C12" s="460"/>
      <c r="D12" s="67" t="s">
        <v>778</v>
      </c>
      <c r="E12" s="67" t="s">
        <v>778</v>
      </c>
      <c r="F12" s="67"/>
      <c r="G12" s="461"/>
    </row>
    <row r="13" spans="1:8" s="233" customFormat="1" ht="48" x14ac:dyDescent="0.25">
      <c r="A13" s="234" t="s">
        <v>319</v>
      </c>
      <c r="B13" s="326" t="s">
        <v>611</v>
      </c>
      <c r="C13" s="460"/>
      <c r="D13" s="234" t="s">
        <v>775</v>
      </c>
      <c r="E13" s="67" t="s">
        <v>627</v>
      </c>
      <c r="F13" s="67" t="s">
        <v>684</v>
      </c>
      <c r="G13" s="461"/>
      <c r="H13" s="324"/>
    </row>
    <row r="14" spans="1:8" s="233" customFormat="1" ht="36" x14ac:dyDescent="0.25">
      <c r="A14" s="234" t="s">
        <v>320</v>
      </c>
      <c r="B14" s="326" t="s">
        <v>612</v>
      </c>
      <c r="C14" s="460"/>
      <c r="D14" s="234" t="s">
        <v>775</v>
      </c>
      <c r="E14" s="67" t="s">
        <v>627</v>
      </c>
      <c r="F14" s="67" t="s">
        <v>684</v>
      </c>
      <c r="G14" s="461"/>
      <c r="H14" s="324"/>
    </row>
    <row r="15" spans="1:8" s="233" customFormat="1" ht="24" x14ac:dyDescent="0.25">
      <c r="A15" s="234" t="s">
        <v>521</v>
      </c>
      <c r="B15" s="326" t="s">
        <v>630</v>
      </c>
      <c r="C15" s="460"/>
      <c r="D15" s="67" t="s">
        <v>778</v>
      </c>
      <c r="E15" s="67" t="s">
        <v>778</v>
      </c>
      <c r="F15" s="67"/>
      <c r="G15" s="461"/>
    </row>
    <row r="16" spans="1:8" s="233" customFormat="1" ht="48" x14ac:dyDescent="0.25">
      <c r="A16" s="234" t="s">
        <v>321</v>
      </c>
      <c r="B16" s="326" t="s">
        <v>613</v>
      </c>
      <c r="C16" s="460"/>
      <c r="D16" s="234" t="s">
        <v>775</v>
      </c>
      <c r="E16" s="67" t="s">
        <v>627</v>
      </c>
      <c r="F16" s="67" t="s">
        <v>685</v>
      </c>
      <c r="G16" s="67" t="s">
        <v>688</v>
      </c>
      <c r="H16" s="324"/>
    </row>
    <row r="17" spans="1:8" s="233" customFormat="1" ht="36" x14ac:dyDescent="0.25">
      <c r="A17" s="234" t="s">
        <v>322</v>
      </c>
      <c r="B17" s="326" t="s">
        <v>614</v>
      </c>
      <c r="C17" s="460"/>
      <c r="D17" s="234" t="s">
        <v>775</v>
      </c>
      <c r="E17" s="67" t="s">
        <v>627</v>
      </c>
      <c r="F17" s="67" t="s">
        <v>685</v>
      </c>
      <c r="G17" s="67" t="s">
        <v>688</v>
      </c>
      <c r="H17" s="324"/>
    </row>
    <row r="18" spans="1:8" s="233" customFormat="1" ht="24" x14ac:dyDescent="0.25">
      <c r="A18" s="234" t="s">
        <v>522</v>
      </c>
      <c r="B18" s="326" t="s">
        <v>630</v>
      </c>
      <c r="C18" s="460"/>
      <c r="D18" s="67" t="s">
        <v>778</v>
      </c>
      <c r="E18" s="67" t="s">
        <v>778</v>
      </c>
      <c r="F18" s="67"/>
      <c r="G18" s="461"/>
    </row>
    <row r="19" spans="1:8" s="233" customFormat="1" ht="48" x14ac:dyDescent="0.25">
      <c r="A19" s="234" t="s">
        <v>323</v>
      </c>
      <c r="B19" s="326" t="s">
        <v>615</v>
      </c>
      <c r="C19" s="460"/>
      <c r="D19" s="234" t="s">
        <v>514</v>
      </c>
      <c r="E19" s="67" t="s">
        <v>627</v>
      </c>
      <c r="F19" s="67" t="s">
        <v>685</v>
      </c>
      <c r="G19" s="461"/>
    </row>
    <row r="20" spans="1:8" s="233" customFormat="1" ht="48" x14ac:dyDescent="0.25">
      <c r="A20" s="234" t="s">
        <v>324</v>
      </c>
      <c r="B20" s="326" t="s">
        <v>616</v>
      </c>
      <c r="C20" s="460"/>
      <c r="D20" s="234" t="s">
        <v>514</v>
      </c>
      <c r="E20" s="67" t="s">
        <v>627</v>
      </c>
      <c r="F20" s="67" t="s">
        <v>685</v>
      </c>
      <c r="G20" s="461"/>
    </row>
    <row r="21" spans="1:8" s="233" customFormat="1" ht="48" x14ac:dyDescent="0.25">
      <c r="A21" s="234" t="s">
        <v>326</v>
      </c>
      <c r="B21" s="326" t="s">
        <v>753</v>
      </c>
      <c r="C21" s="460"/>
      <c r="D21" s="234" t="s">
        <v>514</v>
      </c>
      <c r="E21" s="67" t="s">
        <v>627</v>
      </c>
      <c r="F21" s="67" t="s">
        <v>685</v>
      </c>
      <c r="G21" s="461"/>
    </row>
    <row r="22" spans="1:8" s="233" customFormat="1" ht="48" x14ac:dyDescent="0.25">
      <c r="A22" s="234" t="s">
        <v>327</v>
      </c>
      <c r="B22" s="326" t="s">
        <v>617</v>
      </c>
      <c r="C22" s="460"/>
      <c r="D22" s="234" t="s">
        <v>514</v>
      </c>
      <c r="E22" s="67" t="s">
        <v>627</v>
      </c>
      <c r="F22" s="67" t="s">
        <v>685</v>
      </c>
      <c r="G22" s="461"/>
    </row>
    <row r="23" spans="1:8" s="233" customFormat="1" ht="36" x14ac:dyDescent="0.25">
      <c r="A23" s="234" t="s">
        <v>328</v>
      </c>
      <c r="B23" s="326" t="s">
        <v>618</v>
      </c>
      <c r="C23" s="460"/>
      <c r="D23" s="234" t="s">
        <v>514</v>
      </c>
      <c r="E23" s="67" t="s">
        <v>627</v>
      </c>
      <c r="F23" s="67" t="s">
        <v>685</v>
      </c>
      <c r="G23" s="461"/>
    </row>
  </sheetData>
  <sheetProtection algorithmName="SHA-512" hashValue="g6D3smK1dNRxXnXkMuYgf789G1kuWwurLEjsQHngpXMOn1KpEBEmhtyv60Bja6GT0SOCNvTIVTqLg7wCrIyJ3g==" saltValue="B69HEIk0lSbSfF01/o4Wx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workbookViewId="0">
      <selection sqref="A1:XFD1048576"/>
    </sheetView>
  </sheetViews>
  <sheetFormatPr defaultRowHeight="15" x14ac:dyDescent="0.25"/>
  <cols>
    <col min="1" max="1" width="9.7109375" style="375" bestFit="1" customWidth="1"/>
    <col min="2" max="2" width="93.140625" style="375" bestFit="1" customWidth="1"/>
    <col min="3" max="3" width="9.140625" style="431"/>
    <col min="4" max="4" width="27.42578125" style="201" bestFit="1" customWidth="1"/>
    <col min="5" max="5" width="44.42578125" style="201" bestFit="1" customWidth="1"/>
    <col min="6" max="6" width="45.5703125" style="54" bestFit="1" customWidth="1"/>
    <col min="8" max="16384" width="9.140625" style="51"/>
  </cols>
  <sheetData>
    <row r="1" spans="1:6" ht="24" x14ac:dyDescent="0.25">
      <c r="A1" s="459" t="s">
        <v>526</v>
      </c>
      <c r="B1" s="459" t="s">
        <v>527</v>
      </c>
      <c r="D1" s="55" t="s">
        <v>780</v>
      </c>
      <c r="E1" s="55" t="s">
        <v>628</v>
      </c>
      <c r="F1" s="55" t="s">
        <v>687</v>
      </c>
    </row>
    <row r="2" spans="1:6" x14ac:dyDescent="0.25">
      <c r="A2" s="462" t="s">
        <v>529</v>
      </c>
      <c r="B2" s="463"/>
      <c r="D2" s="200"/>
      <c r="E2" s="200"/>
      <c r="F2" s="63"/>
    </row>
    <row r="3" spans="1:6" ht="72" x14ac:dyDescent="0.25">
      <c r="A3" s="63" t="s">
        <v>331</v>
      </c>
      <c r="B3" s="49" t="s">
        <v>764</v>
      </c>
      <c r="D3" s="200" t="s">
        <v>775</v>
      </c>
      <c r="E3" s="63" t="s">
        <v>627</v>
      </c>
      <c r="F3" s="63"/>
    </row>
    <row r="4" spans="1:6" ht="26.25" customHeight="1" x14ac:dyDescent="0.25">
      <c r="A4" s="63" t="s">
        <v>334</v>
      </c>
      <c r="B4" s="49" t="s">
        <v>758</v>
      </c>
      <c r="D4" s="200" t="s">
        <v>775</v>
      </c>
      <c r="E4" s="63" t="s">
        <v>627</v>
      </c>
      <c r="F4" s="63"/>
    </row>
    <row r="5" spans="1:6" ht="48" x14ac:dyDescent="0.25">
      <c r="A5" s="63" t="s">
        <v>336</v>
      </c>
      <c r="B5" s="49" t="s">
        <v>765</v>
      </c>
      <c r="D5" s="200" t="s">
        <v>775</v>
      </c>
      <c r="E5" s="63" t="s">
        <v>627</v>
      </c>
      <c r="F5" s="63"/>
    </row>
    <row r="6" spans="1:6" ht="24" x14ac:dyDescent="0.25">
      <c r="A6" s="63" t="s">
        <v>337</v>
      </c>
      <c r="B6" s="49" t="s">
        <v>759</v>
      </c>
      <c r="D6" s="200" t="s">
        <v>775</v>
      </c>
      <c r="E6" s="63" t="s">
        <v>627</v>
      </c>
      <c r="F6" s="63"/>
    </row>
    <row r="7" spans="1:6" ht="48" x14ac:dyDescent="0.25">
      <c r="A7" s="63" t="s">
        <v>338</v>
      </c>
      <c r="B7" s="49" t="s">
        <v>766</v>
      </c>
      <c r="D7" s="200" t="s">
        <v>775</v>
      </c>
      <c r="E7" s="63" t="s">
        <v>627</v>
      </c>
      <c r="F7" s="63"/>
    </row>
    <row r="8" spans="1:6" ht="24" customHeight="1" x14ac:dyDescent="0.25">
      <c r="A8" s="63" t="s">
        <v>339</v>
      </c>
      <c r="B8" s="49" t="s">
        <v>760</v>
      </c>
      <c r="D8" s="200" t="s">
        <v>775</v>
      </c>
      <c r="E8" s="63" t="s">
        <v>627</v>
      </c>
      <c r="F8" s="63"/>
    </row>
    <row r="9" spans="1:6" ht="48" x14ac:dyDescent="0.25">
      <c r="A9" s="63" t="s">
        <v>340</v>
      </c>
      <c r="B9" s="49" t="s">
        <v>767</v>
      </c>
      <c r="D9" s="200" t="s">
        <v>775</v>
      </c>
      <c r="E9" s="63" t="s">
        <v>627</v>
      </c>
      <c r="F9" s="63"/>
    </row>
    <row r="10" spans="1:6" ht="25.5" customHeight="1" x14ac:dyDescent="0.25">
      <c r="A10" s="63" t="s">
        <v>341</v>
      </c>
      <c r="B10" s="49" t="s">
        <v>761</v>
      </c>
      <c r="D10" s="200" t="s">
        <v>775</v>
      </c>
      <c r="E10" s="63" t="s">
        <v>627</v>
      </c>
      <c r="F10" s="63"/>
    </row>
    <row r="11" spans="1:6" ht="72" x14ac:dyDescent="0.25">
      <c r="A11" s="63" t="s">
        <v>342</v>
      </c>
      <c r="B11" s="49" t="s">
        <v>768</v>
      </c>
      <c r="D11" s="200" t="s">
        <v>775</v>
      </c>
      <c r="E11" s="63" t="s">
        <v>627</v>
      </c>
      <c r="F11" s="63"/>
    </row>
    <row r="12" spans="1:6" ht="24" x14ac:dyDescent="0.25">
      <c r="A12" s="63" t="s">
        <v>343</v>
      </c>
      <c r="B12" s="49" t="s">
        <v>762</v>
      </c>
      <c r="D12" s="200" t="s">
        <v>775</v>
      </c>
      <c r="E12" s="63" t="s">
        <v>627</v>
      </c>
      <c r="F12" s="63"/>
    </row>
    <row r="13" spans="1:6" ht="48" x14ac:dyDescent="0.25">
      <c r="A13" s="63" t="s">
        <v>344</v>
      </c>
      <c r="B13" s="49" t="s">
        <v>769</v>
      </c>
      <c r="D13" s="200" t="s">
        <v>775</v>
      </c>
      <c r="E13" s="63" t="s">
        <v>627</v>
      </c>
      <c r="F13" s="63"/>
    </row>
    <row r="14" spans="1:6" ht="24" x14ac:dyDescent="0.25">
      <c r="A14" s="63" t="s">
        <v>345</v>
      </c>
      <c r="B14" s="49" t="s">
        <v>763</v>
      </c>
      <c r="D14" s="200" t="s">
        <v>775</v>
      </c>
      <c r="E14" s="63" t="s">
        <v>627</v>
      </c>
      <c r="F14" s="63"/>
    </row>
    <row r="15" spans="1:6" ht="48" x14ac:dyDescent="0.25">
      <c r="A15" s="63" t="s">
        <v>346</v>
      </c>
      <c r="B15" s="49" t="s">
        <v>770</v>
      </c>
      <c r="D15" s="200" t="s">
        <v>775</v>
      </c>
      <c r="E15" s="63" t="s">
        <v>627</v>
      </c>
      <c r="F15" s="63"/>
    </row>
    <row r="16" spans="1:6" ht="24.75" customHeight="1" x14ac:dyDescent="0.25">
      <c r="A16" s="63" t="s">
        <v>347</v>
      </c>
      <c r="B16" s="49" t="s">
        <v>622</v>
      </c>
      <c r="D16" s="200" t="s">
        <v>775</v>
      </c>
      <c r="E16" s="63" t="s">
        <v>627</v>
      </c>
      <c r="F16" s="63"/>
    </row>
    <row r="17" spans="1:6" s="233" customFormat="1" ht="84" x14ac:dyDescent="0.25">
      <c r="A17" s="67" t="s">
        <v>348</v>
      </c>
      <c r="B17" s="326" t="s">
        <v>771</v>
      </c>
      <c r="C17" s="460"/>
      <c r="D17" s="234" t="s">
        <v>514</v>
      </c>
      <c r="E17" s="67" t="s">
        <v>627</v>
      </c>
      <c r="F17" s="67"/>
    </row>
    <row r="18" spans="1:6" s="233" customFormat="1" ht="84" x14ac:dyDescent="0.25">
      <c r="A18" s="67" t="s">
        <v>349</v>
      </c>
      <c r="B18" s="326" t="s">
        <v>772</v>
      </c>
      <c r="C18" s="460"/>
      <c r="D18" s="234" t="s">
        <v>514</v>
      </c>
      <c r="E18" s="67" t="s">
        <v>627</v>
      </c>
      <c r="F18" s="67"/>
    </row>
    <row r="19" spans="1:6" s="233" customFormat="1" ht="25.5" customHeight="1" x14ac:dyDescent="0.25">
      <c r="A19" s="67" t="s">
        <v>350</v>
      </c>
      <c r="B19" s="326" t="s">
        <v>959</v>
      </c>
      <c r="C19" s="460"/>
      <c r="D19" s="234" t="s">
        <v>514</v>
      </c>
      <c r="E19" s="67" t="s">
        <v>627</v>
      </c>
      <c r="F19" s="67"/>
    </row>
    <row r="20" spans="1:6" x14ac:dyDescent="0.25">
      <c r="A20" s="464" t="s">
        <v>551</v>
      </c>
      <c r="B20" s="49"/>
      <c r="D20" s="200"/>
      <c r="E20" s="200"/>
      <c r="F20" s="63"/>
    </row>
    <row r="21" spans="1:6" s="233" customFormat="1" ht="24" x14ac:dyDescent="0.25">
      <c r="A21" s="67" t="s">
        <v>361</v>
      </c>
      <c r="B21" s="326" t="s">
        <v>599</v>
      </c>
      <c r="C21" s="460"/>
      <c r="D21" s="234" t="s">
        <v>746</v>
      </c>
      <c r="E21" s="67" t="s">
        <v>627</v>
      </c>
      <c r="F21" s="67"/>
    </row>
    <row r="22" spans="1:6" s="233" customFormat="1" ht="24" x14ac:dyDescent="0.25">
      <c r="A22" s="67" t="s">
        <v>362</v>
      </c>
      <c r="B22" s="326" t="s">
        <v>600</v>
      </c>
      <c r="C22" s="460"/>
      <c r="D22" s="234" t="s">
        <v>746</v>
      </c>
      <c r="E22" s="67" t="s">
        <v>627</v>
      </c>
      <c r="F22" s="67"/>
    </row>
    <row r="23" spans="1:6" ht="48.75" customHeight="1" x14ac:dyDescent="0.25">
      <c r="A23" s="63" t="s">
        <v>363</v>
      </c>
      <c r="B23" s="49" t="s">
        <v>689</v>
      </c>
      <c r="D23" s="200" t="s">
        <v>776</v>
      </c>
      <c r="E23" s="63" t="s">
        <v>627</v>
      </c>
      <c r="F23" s="63" t="s">
        <v>690</v>
      </c>
    </row>
    <row r="24" spans="1:6" ht="24" x14ac:dyDescent="0.25">
      <c r="A24" s="63" t="s">
        <v>364</v>
      </c>
      <c r="B24" s="49" t="s">
        <v>601</v>
      </c>
      <c r="D24" s="200" t="s">
        <v>776</v>
      </c>
      <c r="E24" s="63" t="s">
        <v>627</v>
      </c>
      <c r="F24" s="63"/>
    </row>
    <row r="25" spans="1:6" ht="24" x14ac:dyDescent="0.25">
      <c r="A25" s="63" t="s">
        <v>365</v>
      </c>
      <c r="B25" s="49" t="s">
        <v>602</v>
      </c>
      <c r="D25" s="200" t="s">
        <v>776</v>
      </c>
      <c r="E25" s="63" t="s">
        <v>627</v>
      </c>
      <c r="F25" s="63"/>
    </row>
    <row r="26" spans="1:6" ht="24" x14ac:dyDescent="0.25">
      <c r="A26" s="63" t="s">
        <v>366</v>
      </c>
      <c r="B26" s="49" t="s">
        <v>603</v>
      </c>
      <c r="D26" s="200" t="s">
        <v>776</v>
      </c>
      <c r="E26" s="63" t="s">
        <v>627</v>
      </c>
      <c r="F26" s="63"/>
    </row>
    <row r="27" spans="1:6" ht="24" x14ac:dyDescent="0.25">
      <c r="A27" s="63" t="s">
        <v>367</v>
      </c>
      <c r="B27" s="49" t="s">
        <v>696</v>
      </c>
      <c r="D27" s="200" t="s">
        <v>776</v>
      </c>
      <c r="E27" s="63" t="s">
        <v>627</v>
      </c>
      <c r="F27" s="63" t="s">
        <v>694</v>
      </c>
    </row>
    <row r="28" spans="1:6" ht="24" x14ac:dyDescent="0.25">
      <c r="A28" s="63" t="s">
        <v>368</v>
      </c>
      <c r="B28" s="49" t="s">
        <v>695</v>
      </c>
      <c r="D28" s="200" t="s">
        <v>776</v>
      </c>
      <c r="E28" s="63" t="s">
        <v>627</v>
      </c>
      <c r="F28" s="63" t="s">
        <v>694</v>
      </c>
    </row>
    <row r="29" spans="1:6" ht="24" x14ac:dyDescent="0.25">
      <c r="A29" s="63" t="s">
        <v>369</v>
      </c>
      <c r="B29" s="49" t="s">
        <v>604</v>
      </c>
      <c r="D29" s="200" t="s">
        <v>776</v>
      </c>
      <c r="E29" s="63" t="s">
        <v>627</v>
      </c>
      <c r="F29" s="63"/>
    </row>
  </sheetData>
  <sheetProtection algorithmName="SHA-512" hashValue="6wyPgJgN8WXtYw4+6haPCAy/6xUxUXKqu2ckCGn1Coyrxr75f+Gwq4OJIVGIsgXtF/hvwCLFm4yhsiYh/nE2ZQ==" saltValue="WMPWVl7ufHBK01Dl8nUt9g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workbookViewId="0">
      <selection sqref="A1:XFD1048576"/>
    </sheetView>
  </sheetViews>
  <sheetFormatPr defaultRowHeight="12" x14ac:dyDescent="0.25"/>
  <cols>
    <col min="1" max="1" width="11.7109375" style="201" customWidth="1"/>
    <col min="2" max="2" width="83" style="375" customWidth="1"/>
    <col min="3" max="3" width="9.140625" style="431"/>
    <col min="4" max="4" width="45.42578125" style="201" customWidth="1"/>
    <col min="5" max="16384" width="9.140625" style="51"/>
  </cols>
  <sheetData>
    <row r="1" spans="1:4" ht="24" x14ac:dyDescent="0.25">
      <c r="A1" s="459" t="s">
        <v>526</v>
      </c>
      <c r="B1" s="459" t="s">
        <v>527</v>
      </c>
      <c r="D1" s="55" t="s">
        <v>628</v>
      </c>
    </row>
    <row r="2" spans="1:4" ht="36" x14ac:dyDescent="0.25">
      <c r="A2" s="200" t="s">
        <v>500</v>
      </c>
      <c r="B2" s="49" t="s">
        <v>606</v>
      </c>
      <c r="D2" s="63" t="s">
        <v>627</v>
      </c>
    </row>
    <row r="3" spans="1:4" ht="36" x14ac:dyDescent="0.25">
      <c r="A3" s="200" t="s">
        <v>315</v>
      </c>
      <c r="B3" s="49" t="s">
        <v>608</v>
      </c>
      <c r="D3" s="63" t="s">
        <v>627</v>
      </c>
    </row>
    <row r="4" spans="1:4" ht="36" x14ac:dyDescent="0.25">
      <c r="A4" s="200" t="s">
        <v>318</v>
      </c>
      <c r="B4" s="49" t="s">
        <v>610</v>
      </c>
      <c r="D4" s="63" t="s">
        <v>627</v>
      </c>
    </row>
    <row r="5" spans="1:4" ht="36" x14ac:dyDescent="0.25">
      <c r="A5" s="200" t="s">
        <v>320</v>
      </c>
      <c r="B5" s="49" t="s">
        <v>612</v>
      </c>
      <c r="D5" s="63" t="s">
        <v>627</v>
      </c>
    </row>
    <row r="6" spans="1:4" ht="36" x14ac:dyDescent="0.25">
      <c r="A6" s="200" t="s">
        <v>322</v>
      </c>
      <c r="B6" s="49" t="s">
        <v>614</v>
      </c>
      <c r="D6" s="63" t="s">
        <v>627</v>
      </c>
    </row>
    <row r="7" spans="1:4" s="233" customFormat="1" ht="36" x14ac:dyDescent="0.25">
      <c r="A7" s="234" t="s">
        <v>328</v>
      </c>
      <c r="B7" s="326" t="s">
        <v>618</v>
      </c>
      <c r="C7" s="460"/>
      <c r="D7" s="67" t="s">
        <v>627</v>
      </c>
    </row>
    <row r="8" spans="1:4" s="233" customFormat="1" ht="36" x14ac:dyDescent="0.25">
      <c r="A8" s="234" t="s">
        <v>334</v>
      </c>
      <c r="B8" s="326" t="s">
        <v>619</v>
      </c>
      <c r="C8" s="460"/>
      <c r="D8" s="67" t="s">
        <v>627</v>
      </c>
    </row>
    <row r="9" spans="1:4" s="233" customFormat="1" ht="24" x14ac:dyDescent="0.25">
      <c r="A9" s="234" t="s">
        <v>337</v>
      </c>
      <c r="B9" s="326" t="s">
        <v>598</v>
      </c>
      <c r="C9" s="460"/>
      <c r="D9" s="67" t="s">
        <v>627</v>
      </c>
    </row>
    <row r="10" spans="1:4" s="233" customFormat="1" ht="36" x14ac:dyDescent="0.25">
      <c r="A10" s="234" t="s">
        <v>339</v>
      </c>
      <c r="B10" s="326" t="s">
        <v>623</v>
      </c>
      <c r="C10" s="460"/>
      <c r="D10" s="67" t="s">
        <v>627</v>
      </c>
    </row>
    <row r="11" spans="1:4" s="233" customFormat="1" ht="36" x14ac:dyDescent="0.25">
      <c r="A11" s="234" t="s">
        <v>341</v>
      </c>
      <c r="B11" s="326" t="s">
        <v>624</v>
      </c>
      <c r="C11" s="460"/>
      <c r="D11" s="67" t="s">
        <v>627</v>
      </c>
    </row>
    <row r="12" spans="1:4" s="233" customFormat="1" ht="36" x14ac:dyDescent="0.25">
      <c r="A12" s="234" t="s">
        <v>343</v>
      </c>
      <c r="B12" s="326" t="s">
        <v>620</v>
      </c>
      <c r="C12" s="460"/>
      <c r="D12" s="67" t="s">
        <v>627</v>
      </c>
    </row>
    <row r="13" spans="1:4" s="233" customFormat="1" ht="36" x14ac:dyDescent="0.25">
      <c r="A13" s="234" t="s">
        <v>345</v>
      </c>
      <c r="B13" s="326" t="s">
        <v>621</v>
      </c>
      <c r="C13" s="460"/>
      <c r="D13" s="67" t="s">
        <v>627</v>
      </c>
    </row>
    <row r="14" spans="1:4" s="233" customFormat="1" ht="36" x14ac:dyDescent="0.25">
      <c r="A14" s="234" t="s">
        <v>347</v>
      </c>
      <c r="B14" s="326" t="s">
        <v>622</v>
      </c>
      <c r="C14" s="460"/>
      <c r="D14" s="67" t="s">
        <v>627</v>
      </c>
    </row>
    <row r="15" spans="1:4" s="233" customFormat="1" ht="24" x14ac:dyDescent="0.25">
      <c r="A15" s="234" t="s">
        <v>488</v>
      </c>
      <c r="B15" s="326" t="s">
        <v>630</v>
      </c>
      <c r="C15" s="460"/>
      <c r="D15" s="67" t="s">
        <v>634</v>
      </c>
    </row>
    <row r="16" spans="1:4" s="233" customFormat="1" ht="36" x14ac:dyDescent="0.25">
      <c r="A16" s="234" t="s">
        <v>350</v>
      </c>
      <c r="B16" s="326" t="s">
        <v>625</v>
      </c>
      <c r="C16" s="460"/>
      <c r="D16" s="67" t="s">
        <v>627</v>
      </c>
    </row>
    <row r="17" spans="1:4" s="233" customFormat="1" x14ac:dyDescent="0.25">
      <c r="A17" s="460"/>
      <c r="B17" s="460"/>
      <c r="C17" s="460"/>
      <c r="D17" s="460"/>
    </row>
  </sheetData>
  <sheetProtection algorithmName="SHA-512" hashValue="LSNT8EK6KODsJp5T69MMQy8r8jwgISxUBk24gsBMmSFkQ21QAb5wUSb6M/WhR6xKNiIgQd+ahPriABnpKBLhMQ==" saltValue="vtBBDJz2zBu/iFNdg1r5yg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B54"/>
  <sheetViews>
    <sheetView zoomScale="90" zoomScaleNormal="90" workbookViewId="0">
      <selection sqref="A1:XFD1048576"/>
    </sheetView>
  </sheetViews>
  <sheetFormatPr defaultColWidth="9.140625" defaultRowHeight="11.25" x14ac:dyDescent="0.2"/>
  <cols>
    <col min="1" max="1" width="42.28515625" style="90" customWidth="1"/>
    <col min="2" max="2" width="1.42578125" style="90" customWidth="1"/>
    <col min="3" max="3" width="10.5703125" style="90" bestFit="1" customWidth="1"/>
    <col min="4" max="4" width="11.42578125" style="90" bestFit="1" customWidth="1"/>
    <col min="5" max="5" width="10.7109375" style="90" bestFit="1" customWidth="1"/>
    <col min="6" max="6" width="1.28515625" style="90" customWidth="1"/>
    <col min="7" max="7" width="10.5703125" style="90" bestFit="1" customWidth="1"/>
    <col min="8" max="8" width="11.42578125" style="90" bestFit="1" customWidth="1"/>
    <col min="9" max="9" width="10.7109375" style="90" bestFit="1" customWidth="1"/>
    <col min="10" max="10" width="2.5703125" style="90" customWidth="1"/>
    <col min="11" max="11" width="10.5703125" style="90" bestFit="1" customWidth="1"/>
    <col min="12" max="12" width="11.42578125" style="90" bestFit="1" customWidth="1"/>
    <col min="13" max="13" width="10.7109375" style="90" bestFit="1" customWidth="1"/>
    <col min="14" max="14" width="2.140625" style="90" customWidth="1"/>
    <col min="15" max="15" width="10.5703125" style="90" bestFit="1" customWidth="1"/>
    <col min="16" max="16" width="11.42578125" style="90" bestFit="1" customWidth="1"/>
    <col min="17" max="17" width="10.7109375" style="90" bestFit="1" customWidth="1"/>
    <col min="18" max="18" width="1.85546875" style="90" customWidth="1"/>
    <col min="19" max="19" width="10.5703125" style="90" bestFit="1" customWidth="1"/>
    <col min="20" max="20" width="11.42578125" style="90" bestFit="1" customWidth="1"/>
    <col min="21" max="21" width="10.7109375" style="90" customWidth="1"/>
    <col min="22" max="22" width="2.42578125" style="90" customWidth="1"/>
    <col min="23" max="23" width="10.5703125" style="90" bestFit="1" customWidth="1"/>
    <col min="24" max="24" width="11.42578125" style="90" bestFit="1" customWidth="1"/>
    <col min="25" max="25" width="10.7109375" style="90" customWidth="1"/>
    <col min="26" max="26" width="3.85546875" style="90" customWidth="1"/>
    <col min="27" max="27" width="24.5703125" style="110" bestFit="1" customWidth="1"/>
    <col min="28" max="28" width="24.28515625" style="110" bestFit="1" customWidth="1"/>
    <col min="29" max="29" width="24.5703125" style="4" bestFit="1" customWidth="1"/>
    <col min="30" max="30" width="24.28515625" style="4" bestFit="1" customWidth="1"/>
    <col min="31" max="16384" width="9.140625" style="4"/>
  </cols>
  <sheetData>
    <row r="3" spans="1:28" x14ac:dyDescent="0.2">
      <c r="A3" s="88" t="s">
        <v>0</v>
      </c>
      <c r="B3" s="89"/>
      <c r="C3" s="482" t="s">
        <v>1</v>
      </c>
      <c r="D3" s="482"/>
      <c r="E3" s="482"/>
      <c r="F3" s="89"/>
      <c r="G3" s="482" t="s">
        <v>2</v>
      </c>
      <c r="H3" s="482"/>
      <c r="I3" s="482"/>
      <c r="J3" s="89"/>
      <c r="K3" s="482" t="s">
        <v>3</v>
      </c>
      <c r="L3" s="482"/>
      <c r="M3" s="482"/>
      <c r="N3" s="89"/>
      <c r="O3" s="482" t="s">
        <v>4</v>
      </c>
      <c r="P3" s="482"/>
      <c r="Q3" s="482"/>
      <c r="R3" s="89"/>
      <c r="S3" s="482" t="s">
        <v>5</v>
      </c>
      <c r="T3" s="482"/>
      <c r="U3" s="482"/>
      <c r="V3" s="89"/>
      <c r="W3" s="482" t="s">
        <v>6</v>
      </c>
      <c r="X3" s="482"/>
      <c r="Y3" s="482"/>
      <c r="AA3" s="197" t="s">
        <v>628</v>
      </c>
      <c r="AB3" s="197" t="s">
        <v>628</v>
      </c>
    </row>
    <row r="4" spans="1:28" ht="22.5" x14ac:dyDescent="0.2">
      <c r="A4" s="91"/>
      <c r="B4" s="92"/>
      <c r="C4" s="93" t="s">
        <v>7</v>
      </c>
      <c r="D4" s="93" t="s">
        <v>8</v>
      </c>
      <c r="E4" s="93" t="s">
        <v>9</v>
      </c>
      <c r="F4" s="92"/>
      <c r="G4" s="93" t="s">
        <v>7</v>
      </c>
      <c r="H4" s="93" t="s">
        <v>8</v>
      </c>
      <c r="I4" s="93" t="s">
        <v>9</v>
      </c>
      <c r="J4" s="92"/>
      <c r="K4" s="93" t="s">
        <v>7</v>
      </c>
      <c r="L4" s="93" t="s">
        <v>8</v>
      </c>
      <c r="M4" s="93" t="s">
        <v>9</v>
      </c>
      <c r="N4" s="92"/>
      <c r="O4" s="93" t="s">
        <v>7</v>
      </c>
      <c r="P4" s="93" t="s">
        <v>8</v>
      </c>
      <c r="Q4" s="93" t="s">
        <v>9</v>
      </c>
      <c r="R4" s="92"/>
      <c r="S4" s="93" t="s">
        <v>7</v>
      </c>
      <c r="T4" s="93" t="s">
        <v>8</v>
      </c>
      <c r="U4" s="93" t="s">
        <v>9</v>
      </c>
      <c r="V4" s="92"/>
      <c r="W4" s="93" t="s">
        <v>7</v>
      </c>
      <c r="X4" s="93" t="s">
        <v>8</v>
      </c>
      <c r="Y4" s="93" t="s">
        <v>9</v>
      </c>
      <c r="AA4" s="15"/>
      <c r="AB4" s="15"/>
    </row>
    <row r="5" spans="1:28" x14ac:dyDescent="0.2">
      <c r="A5" s="94" t="s">
        <v>10</v>
      </c>
      <c r="B5" s="95"/>
      <c r="C5" s="96">
        <f>'Tables 2'!B24</f>
        <v>454.5499999999999</v>
      </c>
      <c r="D5" s="97">
        <f>C5/W5</f>
        <v>0.21741625970373413</v>
      </c>
      <c r="E5" s="97">
        <f>C51/W51</f>
        <v>0.20151102303690854</v>
      </c>
      <c r="F5" s="98"/>
      <c r="G5" s="99">
        <f>'Tables 2'!B107</f>
        <v>1082.6000000000001</v>
      </c>
      <c r="H5" s="97">
        <f>G5/W5</f>
        <v>0.51781947586681909</v>
      </c>
      <c r="I5" s="97">
        <f>G51/W51</f>
        <v>0.51815443985241783</v>
      </c>
      <c r="J5" s="98"/>
      <c r="K5" s="96">
        <f>'Tables 2'!B130</f>
        <v>131.47</v>
      </c>
      <c r="L5" s="97">
        <f>K5/W5</f>
        <v>6.288354562369361E-2</v>
      </c>
      <c r="M5" s="97">
        <f>K51/W51</f>
        <v>5.5708381679986457E-2</v>
      </c>
      <c r="N5" s="98"/>
      <c r="O5" s="99">
        <f>C5+G5+K5</f>
        <v>1668.6200000000001</v>
      </c>
      <c r="P5" s="97">
        <f>O5/W5</f>
        <v>0.79811928119424691</v>
      </c>
      <c r="Q5" s="97">
        <f>O51/W51</f>
        <v>0.77537384456931291</v>
      </c>
      <c r="R5" s="98"/>
      <c r="S5" s="96">
        <f>'Tables 2'!B180</f>
        <v>422.06999999999994</v>
      </c>
      <c r="T5" s="97">
        <f>S5/W5</f>
        <v>0.20188071880575309</v>
      </c>
      <c r="U5" s="97">
        <f>S51/W51</f>
        <v>0.22462615543068717</v>
      </c>
      <c r="V5" s="98"/>
      <c r="W5" s="99">
        <f>O5+S5</f>
        <v>2090.69</v>
      </c>
      <c r="X5" s="97">
        <f>W5/W5</f>
        <v>1</v>
      </c>
      <c r="Y5" s="97">
        <f>W51/W51</f>
        <v>1</v>
      </c>
      <c r="AA5" s="15"/>
      <c r="AB5" s="15"/>
    </row>
    <row r="6" spans="1:28" x14ac:dyDescent="0.2">
      <c r="A6" s="100"/>
      <c r="B6" s="95"/>
      <c r="F6" s="95"/>
      <c r="J6" s="95"/>
      <c r="N6" s="95"/>
      <c r="R6" s="95"/>
      <c r="V6" s="95"/>
      <c r="AA6" s="15"/>
      <c r="AB6" s="15"/>
    </row>
    <row r="7" spans="1:28" x14ac:dyDescent="0.2">
      <c r="A7" s="101" t="s">
        <v>11</v>
      </c>
      <c r="B7" s="89"/>
      <c r="C7" s="102"/>
      <c r="D7" s="102"/>
      <c r="E7" s="102"/>
      <c r="F7" s="89"/>
      <c r="G7" s="102"/>
      <c r="H7" s="102"/>
      <c r="I7" s="102"/>
      <c r="J7" s="89"/>
      <c r="K7" s="102"/>
      <c r="L7" s="102"/>
      <c r="M7" s="102"/>
      <c r="N7" s="89"/>
      <c r="O7" s="102"/>
      <c r="P7" s="102"/>
      <c r="Q7" s="102"/>
      <c r="R7" s="89"/>
      <c r="S7" s="102"/>
      <c r="T7" s="102"/>
      <c r="U7" s="102"/>
      <c r="V7" s="89"/>
      <c r="W7" s="102"/>
      <c r="X7" s="102"/>
      <c r="Y7" s="102"/>
      <c r="AA7" s="15"/>
      <c r="AB7" s="15"/>
    </row>
    <row r="8" spans="1:28" x14ac:dyDescent="0.2">
      <c r="A8" s="94" t="s">
        <v>958</v>
      </c>
      <c r="B8" s="95"/>
      <c r="C8" s="21">
        <f>'Tables 2'!C24</f>
        <v>4.54</v>
      </c>
      <c r="D8" s="103">
        <f>C8/C5</f>
        <v>9.9879001209987918E-3</v>
      </c>
      <c r="E8" s="103">
        <f>C8/C51</f>
        <v>1.4686377899265687E-2</v>
      </c>
      <c r="F8" s="104"/>
      <c r="G8" s="21">
        <f>'Tables 2'!C107</f>
        <v>12.319999999999999</v>
      </c>
      <c r="H8" s="103">
        <f>G8/G5</f>
        <v>1.1380011084426378E-2</v>
      </c>
      <c r="I8" s="105">
        <f>G8/G51</f>
        <v>1.5499194847020932E-2</v>
      </c>
      <c r="J8" s="104"/>
      <c r="K8" s="21">
        <f>'Tables 2'!C130</f>
        <v>1.17</v>
      </c>
      <c r="L8" s="103">
        <f>K8/K5</f>
        <v>8.899368677264775E-3</v>
      </c>
      <c r="M8" s="103">
        <f>K8/K51</f>
        <v>1.3690615492628127E-2</v>
      </c>
      <c r="N8" s="104"/>
      <c r="O8" s="106">
        <f>C8+G8+K8</f>
        <v>18.03</v>
      </c>
      <c r="P8" s="103">
        <f>O8/O5</f>
        <v>1.0805336146036845E-2</v>
      </c>
      <c r="Q8" s="103">
        <f>O8/O51</f>
        <v>1.5158011551363213E-2</v>
      </c>
      <c r="R8" s="104"/>
      <c r="S8" s="21">
        <f>'Tables 2'!C180</f>
        <v>3.63</v>
      </c>
      <c r="T8" s="103">
        <f>S8/S5</f>
        <v>8.6004691164972644E-3</v>
      </c>
      <c r="U8" s="103">
        <f>S8/S51</f>
        <v>1.0534258103833544E-2</v>
      </c>
      <c r="V8" s="104"/>
      <c r="W8" s="106">
        <f>O8+S8</f>
        <v>21.66</v>
      </c>
      <c r="X8" s="103">
        <f>W8/W5</f>
        <v>1.0360216005242288E-2</v>
      </c>
      <c r="Y8" s="103">
        <f>W8/W51</f>
        <v>1.411939559078524E-2</v>
      </c>
      <c r="AA8" s="15" t="s">
        <v>530</v>
      </c>
      <c r="AB8" s="15"/>
    </row>
    <row r="9" spans="1:28" x14ac:dyDescent="0.2">
      <c r="A9" s="94" t="s">
        <v>932</v>
      </c>
      <c r="B9" s="95"/>
      <c r="C9" s="21">
        <f>'Tables 2'!D24</f>
        <v>4.2100000000000009</v>
      </c>
      <c r="D9" s="103">
        <f>C9/C5</f>
        <v>9.2619073809261949E-3</v>
      </c>
      <c r="E9" s="103">
        <f>C9/C51</f>
        <v>1.3618865849319064E-2</v>
      </c>
      <c r="F9" s="104"/>
      <c r="G9" s="21">
        <f>'Tables 2'!D107</f>
        <v>16.850000000000001</v>
      </c>
      <c r="H9" s="103">
        <f>G9/G5</f>
        <v>1.5564382043229262E-2</v>
      </c>
      <c r="I9" s="105">
        <f>G9/G51</f>
        <v>2.1198168276972625E-2</v>
      </c>
      <c r="J9" s="104"/>
      <c r="K9" s="21">
        <f>'Tables 2'!D130</f>
        <v>0.30000000000000004</v>
      </c>
      <c r="L9" s="103">
        <f>K9/K5</f>
        <v>2.2818894044268657E-3</v>
      </c>
      <c r="M9" s="103">
        <f>K9/K51</f>
        <v>3.5104142288790081E-3</v>
      </c>
      <c r="N9" s="104"/>
      <c r="O9" s="106">
        <f>C9+G9+K9</f>
        <v>21.360000000000003</v>
      </c>
      <c r="P9" s="103">
        <f>O9/O5</f>
        <v>1.2800997231244981E-2</v>
      </c>
      <c r="Q9" s="103">
        <f>O9/O51</f>
        <v>1.7957577744709831E-2</v>
      </c>
      <c r="R9" s="104"/>
      <c r="S9" s="21">
        <f>'Tables 2'!D180</f>
        <v>4.2</v>
      </c>
      <c r="T9" s="103">
        <f>S9/S5</f>
        <v>9.9509560025588199E-3</v>
      </c>
      <c r="U9" s="103">
        <f>S9/S51</f>
        <v>1.2188397806088398E-2</v>
      </c>
      <c r="V9" s="104"/>
      <c r="W9" s="106">
        <f t="shared" ref="W9:W11" si="0">O9+S9</f>
        <v>25.560000000000002</v>
      </c>
      <c r="X9" s="103">
        <f>W9/W5</f>
        <v>1.2225628859371788E-2</v>
      </c>
      <c r="Y9" s="103">
        <f>W9/W51</f>
        <v>1.6661669035109454E-2</v>
      </c>
      <c r="AA9" s="15" t="s">
        <v>531</v>
      </c>
      <c r="AB9" s="15"/>
    </row>
    <row r="10" spans="1:28" x14ac:dyDescent="0.2">
      <c r="A10" s="94" t="s">
        <v>12</v>
      </c>
      <c r="B10" s="95"/>
      <c r="C10" s="21">
        <f>'Tables 2'!E24</f>
        <v>0</v>
      </c>
      <c r="D10" s="103">
        <f>C10/C5</f>
        <v>0</v>
      </c>
      <c r="E10" s="103">
        <f>C10/C51</f>
        <v>0</v>
      </c>
      <c r="F10" s="104"/>
      <c r="G10" s="21">
        <f>'Tables 2'!E107</f>
        <v>0</v>
      </c>
      <c r="H10" s="103">
        <f>G10/G5</f>
        <v>0</v>
      </c>
      <c r="I10" s="103">
        <f>G10/G51</f>
        <v>0</v>
      </c>
      <c r="J10" s="104"/>
      <c r="K10" s="21">
        <f>'Tables 2'!E130</f>
        <v>1</v>
      </c>
      <c r="L10" s="103">
        <f>K10/K5</f>
        <v>7.606298014756218E-3</v>
      </c>
      <c r="M10" s="103">
        <f>K10/K51</f>
        <v>1.1701380762930026E-2</v>
      </c>
      <c r="N10" s="104"/>
      <c r="O10" s="106">
        <f>C10+G10+K10</f>
        <v>1</v>
      </c>
      <c r="P10" s="103">
        <f>O10/O5</f>
        <v>5.9929762318562641E-4</v>
      </c>
      <c r="Q10" s="103">
        <f>O10/O51</f>
        <v>8.4071056857255746E-4</v>
      </c>
      <c r="R10" s="104"/>
      <c r="S10" s="21">
        <f>'Tables 2'!E180</f>
        <v>0</v>
      </c>
      <c r="T10" s="103">
        <f>S10/S5</f>
        <v>0</v>
      </c>
      <c r="U10" s="103">
        <f>S10/S51</f>
        <v>0</v>
      </c>
      <c r="V10" s="104"/>
      <c r="W10" s="106">
        <f t="shared" si="0"/>
        <v>1</v>
      </c>
      <c r="X10" s="103">
        <f>W10/W5</f>
        <v>4.7831098823833277E-4</v>
      </c>
      <c r="Y10" s="103">
        <f>W10/W51</f>
        <v>6.5186498572415697E-4</v>
      </c>
      <c r="AA10" s="15"/>
      <c r="AB10" s="15"/>
    </row>
    <row r="11" spans="1:28" x14ac:dyDescent="0.2">
      <c r="A11" s="94" t="s">
        <v>13</v>
      </c>
      <c r="B11" s="95"/>
      <c r="C11" s="21">
        <f>'Tables 2'!F24</f>
        <v>0</v>
      </c>
      <c r="D11" s="103">
        <f>C11/C5</f>
        <v>0</v>
      </c>
      <c r="E11" s="103">
        <f>C11/C51</f>
        <v>0</v>
      </c>
      <c r="F11" s="104"/>
      <c r="G11" s="21">
        <f>'Tables 2'!F107</f>
        <v>2.35</v>
      </c>
      <c r="H11" s="103">
        <f>G11/G5</f>
        <v>2.1707001662663954E-3</v>
      </c>
      <c r="I11" s="103">
        <f>G11/G51</f>
        <v>2.9564210950080516E-3</v>
      </c>
      <c r="J11" s="104"/>
      <c r="K11" s="21">
        <f>'Tables 2'!F130</f>
        <v>8.0500000000000007</v>
      </c>
      <c r="L11" s="103">
        <f>K11/K5</f>
        <v>6.1230699018787561E-2</v>
      </c>
      <c r="M11" s="103">
        <f>K11/K51</f>
        <v>9.4196115141586712E-2</v>
      </c>
      <c r="N11" s="104"/>
      <c r="O11" s="106">
        <f>C11+G11+K11</f>
        <v>10.4</v>
      </c>
      <c r="P11" s="103">
        <f>O11/O5</f>
        <v>6.2326952811305146E-3</v>
      </c>
      <c r="Q11" s="103">
        <f>O11/O51</f>
        <v>8.7433899131545978E-3</v>
      </c>
      <c r="R11" s="104"/>
      <c r="S11" s="21">
        <f>'Tables 2'!F180</f>
        <v>13.09</v>
      </c>
      <c r="T11" s="103">
        <f>S11/S5</f>
        <v>3.1013812874641652E-2</v>
      </c>
      <c r="U11" s="103">
        <f>S11/S51</f>
        <v>3.7987173162308839E-2</v>
      </c>
      <c r="V11" s="104"/>
      <c r="W11" s="106">
        <f t="shared" si="0"/>
        <v>23.490000000000002</v>
      </c>
      <c r="X11" s="103">
        <f>W11/W5</f>
        <v>1.1235525113718439E-2</v>
      </c>
      <c r="Y11" s="103">
        <f>W11/W51</f>
        <v>1.5312308514660448E-2</v>
      </c>
      <c r="AA11" s="15"/>
      <c r="AB11" s="15"/>
    </row>
    <row r="12" spans="1:28" ht="22.5" x14ac:dyDescent="0.2">
      <c r="A12" s="107" t="s">
        <v>14</v>
      </c>
      <c r="B12" s="89"/>
      <c r="C12" s="23">
        <f>SUM(C8:C11)</f>
        <v>8.75</v>
      </c>
      <c r="D12" s="108">
        <f>C12/C5</f>
        <v>1.9249807501924985E-2</v>
      </c>
      <c r="E12" s="108">
        <f>C12/C51</f>
        <v>2.8305243748584747E-2</v>
      </c>
      <c r="F12" s="98"/>
      <c r="G12" s="23">
        <f>SUM(G8:G11)</f>
        <v>31.520000000000003</v>
      </c>
      <c r="H12" s="108">
        <f>G12/G5</f>
        <v>2.9115093293922038E-2</v>
      </c>
      <c r="I12" s="108">
        <f>G12/G51</f>
        <v>3.9653784219001613E-2</v>
      </c>
      <c r="J12" s="98"/>
      <c r="K12" s="23">
        <f>SUM(K8:K11)</f>
        <v>10.52</v>
      </c>
      <c r="L12" s="108">
        <f>K12/K5</f>
        <v>8.0018255115235415E-2</v>
      </c>
      <c r="M12" s="108">
        <f>K12/K51</f>
        <v>0.12309852562602386</v>
      </c>
      <c r="N12" s="98"/>
      <c r="O12" s="109">
        <f>SUM(O8:O11)</f>
        <v>50.79</v>
      </c>
      <c r="P12" s="108">
        <f>O12/O5</f>
        <v>3.0438326281597965E-2</v>
      </c>
      <c r="Q12" s="108">
        <f>O12/O51</f>
        <v>4.2699689777800198E-2</v>
      </c>
      <c r="R12" s="98"/>
      <c r="S12" s="23">
        <f>SUM(S8:S11)</f>
        <v>20.92</v>
      </c>
      <c r="T12" s="108">
        <f>S12/S5</f>
        <v>4.956523799369774E-2</v>
      </c>
      <c r="U12" s="108">
        <f>S12/S51</f>
        <v>6.0709829072230784E-2</v>
      </c>
      <c r="V12" s="98"/>
      <c r="W12" s="109">
        <f>SUM(W8:W11)</f>
        <v>71.710000000000008</v>
      </c>
      <c r="X12" s="108">
        <f>W12/W5</f>
        <v>3.429968096657085E-2</v>
      </c>
      <c r="Y12" s="108">
        <f>W12/W51</f>
        <v>4.6745238126279301E-2</v>
      </c>
      <c r="AA12" s="196" t="s">
        <v>635</v>
      </c>
      <c r="AB12" s="15"/>
    </row>
    <row r="13" spans="1:28" x14ac:dyDescent="0.2">
      <c r="A13" s="100"/>
      <c r="B13" s="95"/>
      <c r="C13" s="110"/>
      <c r="D13" s="110"/>
      <c r="E13" s="110"/>
      <c r="F13" s="104"/>
      <c r="G13" s="110"/>
      <c r="H13" s="110"/>
      <c r="I13" s="110"/>
      <c r="J13" s="104"/>
      <c r="K13" s="110"/>
      <c r="L13" s="110"/>
      <c r="M13" s="110"/>
      <c r="N13" s="104"/>
      <c r="O13" s="110"/>
      <c r="P13" s="110"/>
      <c r="Q13" s="110"/>
      <c r="R13" s="104"/>
      <c r="S13" s="110"/>
      <c r="T13" s="110"/>
      <c r="U13" s="110"/>
      <c r="V13" s="104"/>
      <c r="W13" s="110"/>
      <c r="X13" s="110"/>
      <c r="Y13" s="110"/>
      <c r="AA13" s="15"/>
      <c r="AB13" s="15"/>
    </row>
    <row r="14" spans="1:28" x14ac:dyDescent="0.2">
      <c r="A14" s="101" t="s">
        <v>15</v>
      </c>
      <c r="B14" s="111"/>
      <c r="C14" s="112"/>
      <c r="D14" s="112"/>
      <c r="E14" s="112"/>
      <c r="F14" s="113"/>
      <c r="G14" s="112"/>
      <c r="H14" s="112"/>
      <c r="I14" s="112"/>
      <c r="J14" s="113"/>
      <c r="K14" s="112"/>
      <c r="L14" s="112"/>
      <c r="M14" s="112"/>
      <c r="N14" s="113"/>
      <c r="O14" s="112"/>
      <c r="P14" s="112"/>
      <c r="Q14" s="112"/>
      <c r="R14" s="113"/>
      <c r="S14" s="112"/>
      <c r="T14" s="112"/>
      <c r="U14" s="112"/>
      <c r="V14" s="113"/>
      <c r="W14" s="112"/>
      <c r="X14" s="112"/>
      <c r="Y14" s="112"/>
      <c r="AA14" s="15"/>
      <c r="AB14" s="15"/>
    </row>
    <row r="15" spans="1:28" x14ac:dyDescent="0.2">
      <c r="A15" s="94" t="s">
        <v>16</v>
      </c>
      <c r="B15" s="95"/>
      <c r="C15" s="21">
        <f>'Tables 2'!G24</f>
        <v>1.8</v>
      </c>
      <c r="D15" s="114">
        <f>C15/C5</f>
        <v>3.959960400395997E-3</v>
      </c>
      <c r="E15" s="114">
        <f>C15/C51</f>
        <v>5.8227929997088628E-3</v>
      </c>
      <c r="F15" s="115"/>
      <c r="G15" s="21">
        <f>'Tables 2'!G107</f>
        <v>6.29</v>
      </c>
      <c r="H15" s="114">
        <f>G15/G5</f>
        <v>5.8100868280066501E-3</v>
      </c>
      <c r="I15" s="114">
        <f>G15/G51</f>
        <v>7.9131441223832533E-3</v>
      </c>
      <c r="J15" s="115"/>
      <c r="K15" s="21">
        <f>'Tables 2'!G130</f>
        <v>0</v>
      </c>
      <c r="L15" s="114">
        <f>K15/K5</f>
        <v>0</v>
      </c>
      <c r="M15" s="114">
        <f>K15/K51</f>
        <v>0</v>
      </c>
      <c r="N15" s="115"/>
      <c r="O15" s="106">
        <f>C15+G15+K15</f>
        <v>8.09</v>
      </c>
      <c r="P15" s="114">
        <f>O15/O5</f>
        <v>4.8483177715717175E-3</v>
      </c>
      <c r="Q15" s="114">
        <f>O15/O51</f>
        <v>6.8013484997519903E-3</v>
      </c>
      <c r="R15" s="115"/>
      <c r="S15" s="21">
        <f>'Tables 2'!G180</f>
        <v>0</v>
      </c>
      <c r="T15" s="114">
        <f>S15/S5</f>
        <v>0</v>
      </c>
      <c r="U15" s="114">
        <f>S15/S51</f>
        <v>0</v>
      </c>
      <c r="V15" s="115"/>
      <c r="W15" s="106">
        <f>O15+S15</f>
        <v>8.09</v>
      </c>
      <c r="X15" s="114">
        <f>W15/W5</f>
        <v>3.8695358948481122E-3</v>
      </c>
      <c r="Y15" s="114">
        <f>W15/W51</f>
        <v>5.2735877345084295E-3</v>
      </c>
      <c r="AA15" s="15"/>
      <c r="AB15" s="15"/>
    </row>
    <row r="16" spans="1:28" x14ac:dyDescent="0.2">
      <c r="A16" s="94" t="s">
        <v>17</v>
      </c>
      <c r="B16" s="95"/>
      <c r="C16" s="21">
        <f>'Tables 2'!H24</f>
        <v>0</v>
      </c>
      <c r="D16" s="114">
        <f>C16/C5</f>
        <v>0</v>
      </c>
      <c r="E16" s="114">
        <f>C16/C51</f>
        <v>0</v>
      </c>
      <c r="F16" s="115"/>
      <c r="G16" s="21">
        <f>'Tables 2'!H107</f>
        <v>1.5</v>
      </c>
      <c r="H16" s="114">
        <f>G16/G5</f>
        <v>1.3855532976168481E-3</v>
      </c>
      <c r="I16" s="114">
        <f>G16/G51</f>
        <v>1.8870772946859903E-3</v>
      </c>
      <c r="J16" s="115"/>
      <c r="K16" s="21">
        <f>'Tables 2'!H130</f>
        <v>0</v>
      </c>
      <c r="L16" s="114">
        <f>K16/K5</f>
        <v>0</v>
      </c>
      <c r="M16" s="114">
        <f>K16/K51</f>
        <v>0</v>
      </c>
      <c r="N16" s="115"/>
      <c r="O16" s="106">
        <f>C16+G16+K16</f>
        <v>1.5</v>
      </c>
      <c r="P16" s="114">
        <f>O16/O5</f>
        <v>8.9894643477843956E-4</v>
      </c>
      <c r="Q16" s="114">
        <f>O16/O51</f>
        <v>1.2610658528588363E-3</v>
      </c>
      <c r="R16" s="115"/>
      <c r="S16" s="21">
        <f>'Tables 2'!H180</f>
        <v>0</v>
      </c>
      <c r="T16" s="114">
        <f>S16/S5</f>
        <v>0</v>
      </c>
      <c r="U16" s="114">
        <f>S16/S51</f>
        <v>0</v>
      </c>
      <c r="V16" s="115"/>
      <c r="W16" s="106">
        <f>O16+S16</f>
        <v>1.5</v>
      </c>
      <c r="X16" s="114">
        <f>W16/W5</f>
        <v>7.1746648235749915E-4</v>
      </c>
      <c r="Y16" s="114">
        <f>W16/W51</f>
        <v>9.777974785862354E-4</v>
      </c>
      <c r="AA16" s="15"/>
      <c r="AB16" s="15"/>
    </row>
    <row r="17" spans="1:28" x14ac:dyDescent="0.2">
      <c r="A17" s="94" t="s">
        <v>18</v>
      </c>
      <c r="B17" s="95"/>
      <c r="C17" s="21">
        <f>'Tables 2'!I24</f>
        <v>0</v>
      </c>
      <c r="D17" s="114">
        <f>C17/C5</f>
        <v>0</v>
      </c>
      <c r="E17" s="114">
        <f>C17/C51</f>
        <v>0</v>
      </c>
      <c r="F17" s="115"/>
      <c r="G17" s="21">
        <f>'Tables 2'!I107</f>
        <v>0</v>
      </c>
      <c r="H17" s="114">
        <f>G17/G5</f>
        <v>0</v>
      </c>
      <c r="I17" s="114">
        <f>G17/G51</f>
        <v>0</v>
      </c>
      <c r="J17" s="115"/>
      <c r="K17" s="21">
        <f>'Tables 2'!I130</f>
        <v>2</v>
      </c>
      <c r="L17" s="114">
        <f>K17/K5</f>
        <v>1.5212596029512436E-2</v>
      </c>
      <c r="M17" s="114">
        <f>K17/K51</f>
        <v>2.3402761525860051E-2</v>
      </c>
      <c r="N17" s="115"/>
      <c r="O17" s="106">
        <f>C17+G17+K17</f>
        <v>2</v>
      </c>
      <c r="P17" s="114">
        <f>O17/O5</f>
        <v>1.1985952463712528E-3</v>
      </c>
      <c r="Q17" s="114">
        <f>O17/O51</f>
        <v>1.6814211371451149E-3</v>
      </c>
      <c r="R17" s="115"/>
      <c r="S17" s="21">
        <f>'Tables 2'!I180</f>
        <v>0</v>
      </c>
      <c r="T17" s="114">
        <f>S17/S5</f>
        <v>0</v>
      </c>
      <c r="U17" s="114">
        <f>S17/S51</f>
        <v>0</v>
      </c>
      <c r="V17" s="115"/>
      <c r="W17" s="106">
        <f>O17+S17</f>
        <v>2</v>
      </c>
      <c r="X17" s="114">
        <f>W17/W5</f>
        <v>9.5662197647666553E-4</v>
      </c>
      <c r="Y17" s="114">
        <f>W17/W51</f>
        <v>1.3037299714483139E-3</v>
      </c>
      <c r="AA17" s="15"/>
      <c r="AB17" s="15"/>
    </row>
    <row r="18" spans="1:28" ht="22.5" x14ac:dyDescent="0.2">
      <c r="A18" s="94" t="s">
        <v>19</v>
      </c>
      <c r="B18" s="95"/>
      <c r="C18" s="21">
        <f>'Tables 2'!J24</f>
        <v>0</v>
      </c>
      <c r="D18" s="114">
        <f>C18/C5</f>
        <v>0</v>
      </c>
      <c r="E18" s="114">
        <f>C18/C51</f>
        <v>0</v>
      </c>
      <c r="F18" s="115"/>
      <c r="G18" s="21">
        <f>'Tables 2'!K107</f>
        <v>0.4</v>
      </c>
      <c r="H18" s="114">
        <f>G18/G5</f>
        <v>3.6948087936449284E-4</v>
      </c>
      <c r="I18" s="114">
        <f>G18/G51</f>
        <v>5.0322061191626416E-4</v>
      </c>
      <c r="J18" s="115"/>
      <c r="K18" s="21">
        <f>'Tables 2'!K130</f>
        <v>0</v>
      </c>
      <c r="L18" s="114">
        <f>K18/K5</f>
        <v>0</v>
      </c>
      <c r="M18" s="114">
        <f>K18/K51</f>
        <v>0</v>
      </c>
      <c r="N18" s="115"/>
      <c r="O18" s="116">
        <f>C18+G18+K18</f>
        <v>0.4</v>
      </c>
      <c r="P18" s="117">
        <f>O18/O5</f>
        <v>2.3971904927425059E-4</v>
      </c>
      <c r="Q18" s="114">
        <f>O18/O51</f>
        <v>3.36284227429023E-4</v>
      </c>
      <c r="R18" s="115"/>
      <c r="S18" s="21">
        <f>'Tables 2'!K180</f>
        <v>0</v>
      </c>
      <c r="T18" s="114">
        <f>S18/S5</f>
        <v>0</v>
      </c>
      <c r="U18" s="114">
        <f>S18/S51</f>
        <v>0</v>
      </c>
      <c r="V18" s="115"/>
      <c r="W18" s="106">
        <f>O18+S18</f>
        <v>0.4</v>
      </c>
      <c r="X18" s="114">
        <f>W18/W5</f>
        <v>1.9132439529533313E-4</v>
      </c>
      <c r="Y18" s="114">
        <f>W18/W51</f>
        <v>2.6074599428966281E-4</v>
      </c>
      <c r="AA18" s="196" t="s">
        <v>636</v>
      </c>
      <c r="AB18" s="15"/>
    </row>
    <row r="19" spans="1:28" x14ac:dyDescent="0.2">
      <c r="A19" s="94" t="s">
        <v>20</v>
      </c>
      <c r="B19" s="95"/>
      <c r="C19" s="21">
        <f>'Tables 2'!K24</f>
        <v>0</v>
      </c>
      <c r="D19" s="114">
        <f>C19/C5</f>
        <v>0</v>
      </c>
      <c r="E19" s="114">
        <f>C19/C51</f>
        <v>0</v>
      </c>
      <c r="F19" s="115"/>
      <c r="G19" s="21">
        <f>'Tables 2'!J107</f>
        <v>0</v>
      </c>
      <c r="H19" s="114">
        <f>G19/G5</f>
        <v>0</v>
      </c>
      <c r="I19" s="114">
        <f>G19/G51</f>
        <v>0</v>
      </c>
      <c r="J19" s="115"/>
      <c r="K19" s="21">
        <f>'Tables 2'!J130</f>
        <v>1</v>
      </c>
      <c r="L19" s="114">
        <f>K19/K5</f>
        <v>7.606298014756218E-3</v>
      </c>
      <c r="M19" s="114">
        <f>K19/K51</f>
        <v>1.1701380762930026E-2</v>
      </c>
      <c r="N19" s="115"/>
      <c r="O19" s="106">
        <f>C19+G19+K19</f>
        <v>1</v>
      </c>
      <c r="P19" s="114">
        <f>O19/O5</f>
        <v>5.9929762318562641E-4</v>
      </c>
      <c r="Q19" s="114">
        <f>O19/O51</f>
        <v>8.4071056857255746E-4</v>
      </c>
      <c r="R19" s="115"/>
      <c r="S19" s="21">
        <f>'Tables 2'!J180</f>
        <v>0</v>
      </c>
      <c r="T19" s="114">
        <f>S19/S5</f>
        <v>0</v>
      </c>
      <c r="U19" s="114">
        <f>S19/S51</f>
        <v>0</v>
      </c>
      <c r="V19" s="115"/>
      <c r="W19" s="106">
        <f>O19+S19</f>
        <v>1</v>
      </c>
      <c r="X19" s="114">
        <f>W19/W5</f>
        <v>4.7831098823833277E-4</v>
      </c>
      <c r="Y19" s="114">
        <f>W19/W51</f>
        <v>6.5186498572415697E-4</v>
      </c>
      <c r="AA19" s="15"/>
      <c r="AB19" s="15"/>
    </row>
    <row r="20" spans="1:28" x14ac:dyDescent="0.2">
      <c r="A20" s="107" t="s">
        <v>14</v>
      </c>
      <c r="B20" s="89"/>
      <c r="C20" s="23">
        <f>SUM(C15:C19)</f>
        <v>1.8</v>
      </c>
      <c r="D20" s="118">
        <f>C20/C5</f>
        <v>3.959960400395997E-3</v>
      </c>
      <c r="E20" s="118">
        <f>C20/C51</f>
        <v>5.8227929997088628E-3</v>
      </c>
      <c r="F20" s="119"/>
      <c r="G20" s="23">
        <f>SUM(G15:G19)</f>
        <v>8.19</v>
      </c>
      <c r="H20" s="118">
        <f>G20/G5</f>
        <v>7.5651210049879902E-3</v>
      </c>
      <c r="I20" s="118">
        <f>G20/G51</f>
        <v>1.0303442028985506E-2</v>
      </c>
      <c r="J20" s="119"/>
      <c r="K20" s="23">
        <f>SUM(K15:K19)</f>
        <v>3</v>
      </c>
      <c r="L20" s="118">
        <f>K20/K5</f>
        <v>2.2818894044268654E-2</v>
      </c>
      <c r="M20" s="118">
        <f>K20/K51</f>
        <v>3.5104142288790073E-2</v>
      </c>
      <c r="N20" s="119"/>
      <c r="O20" s="23">
        <f>SUM(O15:O19)</f>
        <v>12.99</v>
      </c>
      <c r="P20" s="118">
        <f>O20/O5</f>
        <v>7.7848761251812868E-3</v>
      </c>
      <c r="Q20" s="118">
        <f>O20/O51</f>
        <v>1.0920830285757523E-2</v>
      </c>
      <c r="R20" s="119"/>
      <c r="S20" s="23">
        <f>SUM(S15:S19)</f>
        <v>0</v>
      </c>
      <c r="T20" s="118">
        <f>S20/S5</f>
        <v>0</v>
      </c>
      <c r="U20" s="118">
        <f>S20/S51</f>
        <v>0</v>
      </c>
      <c r="V20" s="119"/>
      <c r="W20" s="23">
        <f>SUM(W15:W19)</f>
        <v>12.99</v>
      </c>
      <c r="X20" s="118">
        <f>W20/W5</f>
        <v>6.2132597372159433E-3</v>
      </c>
      <c r="Y20" s="118">
        <f>W20/W51</f>
        <v>8.4677261645567988E-3</v>
      </c>
      <c r="AA20" s="15"/>
      <c r="AB20" s="15"/>
    </row>
    <row r="21" spans="1:28" x14ac:dyDescent="0.2">
      <c r="A21" s="120"/>
      <c r="B21" s="89"/>
      <c r="C21" s="119"/>
      <c r="D21" s="121"/>
      <c r="E21" s="121"/>
      <c r="F21" s="119"/>
      <c r="G21" s="119"/>
      <c r="H21" s="121"/>
      <c r="I21" s="121"/>
      <c r="J21" s="119"/>
      <c r="K21" s="119"/>
      <c r="L21" s="121"/>
      <c r="M21" s="121"/>
      <c r="N21" s="119"/>
      <c r="O21" s="119"/>
      <c r="P21" s="121"/>
      <c r="Q21" s="121"/>
      <c r="R21" s="119"/>
      <c r="S21" s="119"/>
      <c r="T21" s="121"/>
      <c r="U21" s="121"/>
      <c r="V21" s="119"/>
      <c r="W21" s="119"/>
      <c r="X21" s="121"/>
      <c r="Y21" s="121"/>
      <c r="AA21" s="15"/>
      <c r="AB21" s="15"/>
    </row>
    <row r="22" spans="1:28" x14ac:dyDescent="0.2">
      <c r="A22" s="101" t="s">
        <v>21</v>
      </c>
      <c r="B22" s="111"/>
      <c r="C22" s="112"/>
      <c r="D22" s="112"/>
      <c r="E22" s="112"/>
      <c r="F22" s="113"/>
      <c r="G22" s="112"/>
      <c r="H22" s="112"/>
      <c r="I22" s="112"/>
      <c r="J22" s="113"/>
      <c r="K22" s="112"/>
      <c r="L22" s="112"/>
      <c r="M22" s="112"/>
      <c r="N22" s="113"/>
      <c r="O22" s="112"/>
      <c r="P22" s="112"/>
      <c r="Q22" s="112"/>
      <c r="R22" s="113"/>
      <c r="S22" s="112"/>
      <c r="T22" s="112"/>
      <c r="U22" s="112"/>
      <c r="V22" s="113"/>
      <c r="W22" s="112"/>
      <c r="X22" s="112"/>
      <c r="Y22" s="112"/>
      <c r="AA22" s="15"/>
      <c r="AB22" s="15"/>
    </row>
    <row r="23" spans="1:28" x14ac:dyDescent="0.2">
      <c r="A23" s="94" t="s">
        <v>22</v>
      </c>
      <c r="B23" s="95"/>
      <c r="C23" s="21">
        <f>'Tables 2'!L24</f>
        <v>7</v>
      </c>
      <c r="D23" s="114">
        <f>C23/C5</f>
        <v>1.5399846001539989E-2</v>
      </c>
      <c r="E23" s="114">
        <f>C23/C51</f>
        <v>2.26441949988678E-2</v>
      </c>
      <c r="F23" s="115"/>
      <c r="G23" s="21">
        <f>'Tables 2'!L107</f>
        <v>30.87</v>
      </c>
      <c r="H23" s="114">
        <f>G23/G5</f>
        <v>2.8514686864954737E-2</v>
      </c>
      <c r="I23" s="122">
        <f>G23/G51</f>
        <v>3.883605072463768E-2</v>
      </c>
      <c r="J23" s="115"/>
      <c r="K23" s="21">
        <f>'Tables 2'!L130</f>
        <v>0</v>
      </c>
      <c r="L23" s="114">
        <f>K23/K5</f>
        <v>0</v>
      </c>
      <c r="M23" s="114">
        <f>K23/K51</f>
        <v>0</v>
      </c>
      <c r="N23" s="115"/>
      <c r="O23" s="99">
        <f>C23+G23+K23</f>
        <v>37.870000000000005</v>
      </c>
      <c r="P23" s="114">
        <f>O23/O5</f>
        <v>2.2695400990039676E-2</v>
      </c>
      <c r="Q23" s="114">
        <f>O23/O51</f>
        <v>3.1837709231842759E-2</v>
      </c>
      <c r="R23" s="115"/>
      <c r="S23" s="21">
        <f>'Tables 2'!L180</f>
        <v>0</v>
      </c>
      <c r="T23" s="114">
        <f>S23/S5</f>
        <v>0</v>
      </c>
      <c r="U23" s="114">
        <f>S23/S51</f>
        <v>0</v>
      </c>
      <c r="V23" s="115"/>
      <c r="W23" s="106">
        <f>O23+S23</f>
        <v>37.870000000000005</v>
      </c>
      <c r="X23" s="114">
        <f>W23/W5</f>
        <v>1.8113637124585663E-2</v>
      </c>
      <c r="Y23" s="114">
        <f>W23/W51</f>
        <v>2.4686127009373827E-2</v>
      </c>
      <c r="AA23" s="15" t="s">
        <v>532</v>
      </c>
      <c r="AB23" s="15"/>
    </row>
    <row r="24" spans="1:28" x14ac:dyDescent="0.2">
      <c r="A24" s="107" t="s">
        <v>14</v>
      </c>
      <c r="B24" s="89"/>
      <c r="C24" s="23">
        <f>C23</f>
        <v>7</v>
      </c>
      <c r="D24" s="118">
        <f>C24/C5</f>
        <v>1.5399846001539989E-2</v>
      </c>
      <c r="E24" s="118">
        <f>C24/C51</f>
        <v>2.26441949988678E-2</v>
      </c>
      <c r="F24" s="119"/>
      <c r="G24" s="23">
        <f>G23</f>
        <v>30.87</v>
      </c>
      <c r="H24" s="118">
        <f>G24/G5</f>
        <v>2.8514686864954737E-2</v>
      </c>
      <c r="I24" s="123">
        <f>G24/G51</f>
        <v>3.883605072463768E-2</v>
      </c>
      <c r="J24" s="119"/>
      <c r="K24" s="23">
        <f>K23</f>
        <v>0</v>
      </c>
      <c r="L24" s="118">
        <f>K24/K5</f>
        <v>0</v>
      </c>
      <c r="M24" s="118">
        <f>K24/K51</f>
        <v>0</v>
      </c>
      <c r="N24" s="119"/>
      <c r="O24" s="23">
        <f>O23</f>
        <v>37.870000000000005</v>
      </c>
      <c r="P24" s="118">
        <f>O24/O5</f>
        <v>2.2695400990039676E-2</v>
      </c>
      <c r="Q24" s="118">
        <f>O24/O51</f>
        <v>3.1837709231842759E-2</v>
      </c>
      <c r="R24" s="119"/>
      <c r="S24" s="23">
        <f>S23</f>
        <v>0</v>
      </c>
      <c r="T24" s="118">
        <f>S24/S5</f>
        <v>0</v>
      </c>
      <c r="U24" s="118">
        <f>S24/S51</f>
        <v>0</v>
      </c>
      <c r="V24" s="119"/>
      <c r="W24" s="23">
        <f>W23</f>
        <v>37.870000000000005</v>
      </c>
      <c r="X24" s="118">
        <f>W24/W5</f>
        <v>1.8113637124585663E-2</v>
      </c>
      <c r="Y24" s="118">
        <f>W24/W51</f>
        <v>2.4686127009373827E-2</v>
      </c>
      <c r="AA24" s="15" t="s">
        <v>533</v>
      </c>
      <c r="AB24" s="15"/>
    </row>
    <row r="25" spans="1:28" x14ac:dyDescent="0.2">
      <c r="A25" s="100"/>
      <c r="B25" s="95"/>
      <c r="C25" s="33"/>
      <c r="D25" s="33"/>
      <c r="E25" s="33"/>
      <c r="F25" s="115"/>
      <c r="G25" s="33"/>
      <c r="H25" s="33"/>
      <c r="I25" s="33"/>
      <c r="J25" s="115"/>
      <c r="K25" s="33"/>
      <c r="L25" s="33"/>
      <c r="M25" s="33"/>
      <c r="N25" s="115"/>
      <c r="O25" s="33"/>
      <c r="P25" s="33"/>
      <c r="Q25" s="33"/>
      <c r="R25" s="115"/>
      <c r="S25" s="33"/>
      <c r="T25" s="33"/>
      <c r="U25" s="33"/>
      <c r="V25" s="115"/>
      <c r="W25" s="33"/>
      <c r="X25" s="33"/>
      <c r="Y25" s="33"/>
      <c r="AA25" s="15"/>
      <c r="AB25" s="15"/>
    </row>
    <row r="26" spans="1:28" x14ac:dyDescent="0.2">
      <c r="A26" s="101" t="s">
        <v>23</v>
      </c>
      <c r="B26" s="111"/>
      <c r="C26" s="124"/>
      <c r="D26" s="124"/>
      <c r="E26" s="124"/>
      <c r="F26" s="125"/>
      <c r="G26" s="124"/>
      <c r="H26" s="124"/>
      <c r="I26" s="124"/>
      <c r="J26" s="125"/>
      <c r="K26" s="124"/>
      <c r="L26" s="124"/>
      <c r="M26" s="124"/>
      <c r="N26" s="125"/>
      <c r="O26" s="124"/>
      <c r="P26" s="124"/>
      <c r="Q26" s="124"/>
      <c r="R26" s="125"/>
      <c r="S26" s="124"/>
      <c r="T26" s="124"/>
      <c r="U26" s="124"/>
      <c r="V26" s="125"/>
      <c r="W26" s="124"/>
      <c r="X26" s="124"/>
      <c r="Y26" s="124"/>
      <c r="AA26" s="15"/>
      <c r="AB26" s="15"/>
    </row>
    <row r="27" spans="1:28" x14ac:dyDescent="0.2">
      <c r="A27" s="126" t="s">
        <v>24</v>
      </c>
      <c r="B27" s="111"/>
      <c r="C27" s="127"/>
      <c r="D27" s="127"/>
      <c r="E27" s="127"/>
      <c r="F27" s="125"/>
      <c r="G27" s="127"/>
      <c r="H27" s="127"/>
      <c r="I27" s="127"/>
      <c r="J27" s="125"/>
      <c r="K27" s="127"/>
      <c r="L27" s="127"/>
      <c r="M27" s="127"/>
      <c r="N27" s="125"/>
      <c r="O27" s="127"/>
      <c r="P27" s="127"/>
      <c r="Q27" s="127"/>
      <c r="R27" s="125"/>
      <c r="S27" s="127"/>
      <c r="T27" s="127"/>
      <c r="U27" s="127"/>
      <c r="V27" s="125"/>
      <c r="W27" s="127"/>
      <c r="X27" s="127"/>
      <c r="Y27" s="127"/>
      <c r="AA27" s="15"/>
      <c r="AB27" s="15"/>
    </row>
    <row r="28" spans="1:28" x14ac:dyDescent="0.2">
      <c r="A28" s="94" t="s">
        <v>25</v>
      </c>
      <c r="B28" s="95"/>
      <c r="C28" s="21">
        <f>'Tables 2'!M24</f>
        <v>0</v>
      </c>
      <c r="D28" s="114">
        <f>C28/C5</f>
        <v>0</v>
      </c>
      <c r="E28" s="114">
        <f>C28/C51</f>
        <v>0</v>
      </c>
      <c r="F28" s="115"/>
      <c r="G28" s="21">
        <f>'Tables 2'!M107</f>
        <v>0</v>
      </c>
      <c r="H28" s="114">
        <f>G28/G5</f>
        <v>0</v>
      </c>
      <c r="I28" s="114">
        <f>G28/G51</f>
        <v>0</v>
      </c>
      <c r="J28" s="115"/>
      <c r="K28" s="21">
        <f>'Tables 2'!M130</f>
        <v>0</v>
      </c>
      <c r="L28" s="114">
        <f>K28/K5</f>
        <v>0</v>
      </c>
      <c r="M28" s="114">
        <f>K28/K51</f>
        <v>0</v>
      </c>
      <c r="N28" s="115"/>
      <c r="O28" s="106">
        <f t="shared" ref="O28:O34" si="1">C28+G28+K28</f>
        <v>0</v>
      </c>
      <c r="P28" s="114">
        <f>O28/O5</f>
        <v>0</v>
      </c>
      <c r="Q28" s="114">
        <f>O28/O51</f>
        <v>0</v>
      </c>
      <c r="R28" s="115"/>
      <c r="S28" s="21">
        <f>'Tables 2'!M180</f>
        <v>0</v>
      </c>
      <c r="T28" s="114">
        <f>S28/S5</f>
        <v>0</v>
      </c>
      <c r="U28" s="114">
        <f>S28/S51</f>
        <v>0</v>
      </c>
      <c r="V28" s="115"/>
      <c r="W28" s="106">
        <f t="shared" ref="W28:W34" si="2">O28+S28</f>
        <v>0</v>
      </c>
      <c r="X28" s="114">
        <f>W28/W5</f>
        <v>0</v>
      </c>
      <c r="Y28" s="114">
        <f>W28/W51</f>
        <v>0</v>
      </c>
      <c r="AA28" s="15"/>
      <c r="AB28" s="15"/>
    </row>
    <row r="29" spans="1:28" x14ac:dyDescent="0.2">
      <c r="A29" s="94" t="s">
        <v>26</v>
      </c>
      <c r="B29" s="95"/>
      <c r="C29" s="21">
        <f>'Tables 2'!N24</f>
        <v>0</v>
      </c>
      <c r="D29" s="114">
        <f>C29/C5</f>
        <v>0</v>
      </c>
      <c r="E29" s="114">
        <f>C29/C51</f>
        <v>0</v>
      </c>
      <c r="F29" s="115"/>
      <c r="G29" s="21">
        <f>'Tables 2'!N107</f>
        <v>0</v>
      </c>
      <c r="H29" s="114">
        <f>G29/G5</f>
        <v>0</v>
      </c>
      <c r="I29" s="114">
        <f>G29/G51</f>
        <v>0</v>
      </c>
      <c r="J29" s="115"/>
      <c r="K29" s="21">
        <f>'Tables 2'!N130</f>
        <v>0</v>
      </c>
      <c r="L29" s="114">
        <f>K29/K5</f>
        <v>0</v>
      </c>
      <c r="M29" s="114">
        <f>K29/K51</f>
        <v>0</v>
      </c>
      <c r="N29" s="115"/>
      <c r="O29" s="106">
        <f t="shared" si="1"/>
        <v>0</v>
      </c>
      <c r="P29" s="114">
        <f>O29/O5</f>
        <v>0</v>
      </c>
      <c r="Q29" s="114">
        <f>O29/O51</f>
        <v>0</v>
      </c>
      <c r="R29" s="115"/>
      <c r="S29" s="21">
        <f>'Tables 2'!N180</f>
        <v>0</v>
      </c>
      <c r="T29" s="114">
        <f>S29/S5</f>
        <v>0</v>
      </c>
      <c r="U29" s="114">
        <f>S29/S51</f>
        <v>0</v>
      </c>
      <c r="V29" s="115"/>
      <c r="W29" s="106">
        <f t="shared" si="2"/>
        <v>0</v>
      </c>
      <c r="X29" s="114">
        <f>W29/W5</f>
        <v>0</v>
      </c>
      <c r="Y29" s="114">
        <f>W29/W51</f>
        <v>0</v>
      </c>
      <c r="AA29" s="15"/>
      <c r="AB29" s="15"/>
    </row>
    <row r="30" spans="1:28" x14ac:dyDescent="0.2">
      <c r="A30" s="94" t="s">
        <v>27</v>
      </c>
      <c r="B30" s="95"/>
      <c r="C30" s="21">
        <f>'Tables 2'!O24</f>
        <v>0</v>
      </c>
      <c r="D30" s="114">
        <f>C30/C5</f>
        <v>0</v>
      </c>
      <c r="E30" s="114">
        <f>C30/C51</f>
        <v>0</v>
      </c>
      <c r="F30" s="115"/>
      <c r="G30" s="21">
        <f>'Tables 2'!O107</f>
        <v>0</v>
      </c>
      <c r="H30" s="114">
        <f>G30/G5</f>
        <v>0</v>
      </c>
      <c r="I30" s="114">
        <f>G30/G51</f>
        <v>0</v>
      </c>
      <c r="J30" s="115"/>
      <c r="K30" s="21">
        <f>'Tables 2'!O130</f>
        <v>0</v>
      </c>
      <c r="L30" s="114">
        <f>K30/K5</f>
        <v>0</v>
      </c>
      <c r="M30" s="114">
        <f>K30/K51</f>
        <v>0</v>
      </c>
      <c r="N30" s="115"/>
      <c r="O30" s="106">
        <f t="shared" si="1"/>
        <v>0</v>
      </c>
      <c r="P30" s="114">
        <f>O30/O5</f>
        <v>0</v>
      </c>
      <c r="Q30" s="114">
        <f>O30/O51</f>
        <v>0</v>
      </c>
      <c r="R30" s="115"/>
      <c r="S30" s="21">
        <f>'Tables 2'!O180</f>
        <v>0</v>
      </c>
      <c r="T30" s="114">
        <f>S30/S5</f>
        <v>0</v>
      </c>
      <c r="U30" s="114">
        <f>S30/S51</f>
        <v>0</v>
      </c>
      <c r="V30" s="115"/>
      <c r="W30" s="106">
        <f t="shared" si="2"/>
        <v>0</v>
      </c>
      <c r="X30" s="114">
        <f>W30/W5</f>
        <v>0</v>
      </c>
      <c r="Y30" s="114">
        <f>W30/W51</f>
        <v>0</v>
      </c>
      <c r="AA30" s="15"/>
      <c r="AB30" s="15"/>
    </row>
    <row r="31" spans="1:28" x14ac:dyDescent="0.2">
      <c r="A31" s="94" t="s">
        <v>28</v>
      </c>
      <c r="B31" s="95"/>
      <c r="C31" s="21">
        <f>'Tables 2'!P21</f>
        <v>52.110000000000007</v>
      </c>
      <c r="D31" s="114">
        <f>C31/C5</f>
        <v>0.11464085359146413</v>
      </c>
      <c r="E31" s="114">
        <f>C31/C51</f>
        <v>0.16856985734157159</v>
      </c>
      <c r="F31" s="115"/>
      <c r="G31" s="21">
        <f>'Tables 2'!P107</f>
        <v>60.350000000000009</v>
      </c>
      <c r="H31" s="114">
        <f>G31/G5</f>
        <v>5.5745427674117866E-2</v>
      </c>
      <c r="I31" s="114">
        <f>G31/G51</f>
        <v>7.5923409822866356E-2</v>
      </c>
      <c r="J31" s="115"/>
      <c r="K31" s="21">
        <f>'Tables 2'!P130</f>
        <v>15.81</v>
      </c>
      <c r="L31" s="114">
        <f>K31/K5</f>
        <v>0.12025557161329581</v>
      </c>
      <c r="M31" s="114">
        <f>K31/K51</f>
        <v>0.1849988298619237</v>
      </c>
      <c r="N31" s="115"/>
      <c r="O31" s="106">
        <f t="shared" si="1"/>
        <v>128.27000000000001</v>
      </c>
      <c r="P31" s="114">
        <f>O31/O5</f>
        <v>7.6871906126020309E-2</v>
      </c>
      <c r="Q31" s="114">
        <f>O31/O51</f>
        <v>0.10783794463080196</v>
      </c>
      <c r="R31" s="115"/>
      <c r="S31" s="21">
        <f>'Tables 2'!P180</f>
        <v>17.55</v>
      </c>
      <c r="T31" s="114">
        <f>S31/S5</f>
        <v>4.1580780439263637E-2</v>
      </c>
      <c r="U31" s="114">
        <f>S31/S51</f>
        <v>5.0930090832583666E-2</v>
      </c>
      <c r="V31" s="115"/>
      <c r="W31" s="106">
        <f t="shared" si="2"/>
        <v>145.82000000000002</v>
      </c>
      <c r="X31" s="114">
        <f>W31/W5</f>
        <v>6.9747308304913699E-2</v>
      </c>
      <c r="Y31" s="114">
        <f>W31/W51</f>
        <v>9.5054952218296573E-2</v>
      </c>
      <c r="AA31" s="15"/>
      <c r="AB31" s="15"/>
    </row>
    <row r="32" spans="1:28" x14ac:dyDescent="0.2">
      <c r="A32" s="94" t="s">
        <v>29</v>
      </c>
      <c r="B32" s="95"/>
      <c r="C32" s="21">
        <f>'Tables 2'!Q24</f>
        <v>0</v>
      </c>
      <c r="D32" s="114">
        <f>C32/C5</f>
        <v>0</v>
      </c>
      <c r="E32" s="114">
        <f>C32/C51</f>
        <v>0</v>
      </c>
      <c r="F32" s="115"/>
      <c r="G32" s="21">
        <f>'Tables 2'!Q107</f>
        <v>0</v>
      </c>
      <c r="H32" s="114">
        <f>G32/G5</f>
        <v>0</v>
      </c>
      <c r="I32" s="114">
        <f>G32/G51</f>
        <v>0</v>
      </c>
      <c r="J32" s="115"/>
      <c r="K32" s="21">
        <f>'Tables 2'!Q130</f>
        <v>1.06</v>
      </c>
      <c r="L32" s="114">
        <f>K32/K5</f>
        <v>8.0626758956415922E-3</v>
      </c>
      <c r="M32" s="114">
        <f>K32/K51</f>
        <v>1.2403463608705827E-2</v>
      </c>
      <c r="N32" s="115"/>
      <c r="O32" s="106">
        <f t="shared" si="1"/>
        <v>1.06</v>
      </c>
      <c r="P32" s="114">
        <f>O32/O5</f>
        <v>6.3525548057676397E-4</v>
      </c>
      <c r="Q32" s="114">
        <f>O32/O51</f>
        <v>8.9115320268691098E-4</v>
      </c>
      <c r="R32" s="115"/>
      <c r="S32" s="21">
        <f>'Tables 2'!Q180</f>
        <v>0</v>
      </c>
      <c r="T32" s="114">
        <f>S32/S5</f>
        <v>0</v>
      </c>
      <c r="U32" s="114">
        <f>S32/S51</f>
        <v>0</v>
      </c>
      <c r="V32" s="115"/>
      <c r="W32" s="106">
        <f t="shared" si="2"/>
        <v>1.06</v>
      </c>
      <c r="X32" s="114">
        <f>W32/W5</f>
        <v>5.0700964753263276E-4</v>
      </c>
      <c r="Y32" s="114">
        <f>W32/W51</f>
        <v>6.9097688486760643E-4</v>
      </c>
      <c r="AA32" s="15"/>
      <c r="AB32" s="15"/>
    </row>
    <row r="33" spans="1:28" ht="22.5" x14ac:dyDescent="0.2">
      <c r="A33" s="94" t="s">
        <v>30</v>
      </c>
      <c r="B33" s="95"/>
      <c r="C33" s="21">
        <f>'Tables 2'!R24</f>
        <v>3.41</v>
      </c>
      <c r="D33" s="114">
        <f>C33/C5</f>
        <v>7.5019249807501947E-3</v>
      </c>
      <c r="E33" s="114">
        <f>C33/C51</f>
        <v>1.1030957849448457E-2</v>
      </c>
      <c r="F33" s="115"/>
      <c r="G33" s="21">
        <f>'Tables 2'!R107</f>
        <v>29.160000000000007</v>
      </c>
      <c r="H33" s="114">
        <f>G33/G5</f>
        <v>2.6935156105671536E-2</v>
      </c>
      <c r="I33" s="122">
        <f>G33/G51</f>
        <v>3.6684782608695662E-2</v>
      </c>
      <c r="J33" s="115"/>
      <c r="K33" s="21">
        <f>'Tables 2'!R130</f>
        <v>1.25</v>
      </c>
      <c r="L33" s="114">
        <f>K33/K5</f>
        <v>9.5078725184452734E-3</v>
      </c>
      <c r="M33" s="114">
        <f>K33/K51</f>
        <v>1.4626725953662531E-2</v>
      </c>
      <c r="N33" s="115"/>
      <c r="O33" s="106">
        <f t="shared" si="1"/>
        <v>33.820000000000007</v>
      </c>
      <c r="P33" s="114">
        <f>O33/O5</f>
        <v>2.0268245616137888E-2</v>
      </c>
      <c r="Q33" s="122">
        <f>O33/O51</f>
        <v>2.8432831429123902E-2</v>
      </c>
      <c r="R33" s="115"/>
      <c r="S33" s="21">
        <f>'Tables 2'!R180</f>
        <v>4.9000000000000004</v>
      </c>
      <c r="T33" s="114">
        <f>S33/S5</f>
        <v>1.1609448669651957E-2</v>
      </c>
      <c r="U33" s="114">
        <f>S33/S51</f>
        <v>1.4219797440436464E-2</v>
      </c>
      <c r="V33" s="115"/>
      <c r="W33" s="106">
        <f t="shared" si="2"/>
        <v>38.720000000000006</v>
      </c>
      <c r="X33" s="114">
        <f>W33/W5</f>
        <v>1.852020146458825E-2</v>
      </c>
      <c r="Y33" s="114">
        <f>W33/W51</f>
        <v>2.5240212247239359E-2</v>
      </c>
      <c r="AA33" s="196" t="s">
        <v>637</v>
      </c>
      <c r="AB33" s="15"/>
    </row>
    <row r="34" spans="1:28" x14ac:dyDescent="0.2">
      <c r="A34" s="94" t="s">
        <v>31</v>
      </c>
      <c r="B34" s="95"/>
      <c r="C34" s="21">
        <f>'Tables 2'!S24</f>
        <v>0</v>
      </c>
      <c r="D34" s="114">
        <f>C34/C5</f>
        <v>0</v>
      </c>
      <c r="E34" s="114">
        <f>C34/C51</f>
        <v>0</v>
      </c>
      <c r="F34" s="115"/>
      <c r="G34" s="21">
        <f>'Tables 2'!S107</f>
        <v>0</v>
      </c>
      <c r="H34" s="114">
        <f>G34/G5</f>
        <v>0</v>
      </c>
      <c r="I34" s="114">
        <f>G34/G51</f>
        <v>0</v>
      </c>
      <c r="J34" s="115"/>
      <c r="K34" s="21">
        <f>'Tables 2'!S130</f>
        <v>0</v>
      </c>
      <c r="L34" s="114">
        <f>K34/K5</f>
        <v>0</v>
      </c>
      <c r="M34" s="114">
        <f>K34/K51</f>
        <v>0</v>
      </c>
      <c r="N34" s="115"/>
      <c r="O34" s="106">
        <f t="shared" si="1"/>
        <v>0</v>
      </c>
      <c r="P34" s="114">
        <f>O34/O5</f>
        <v>0</v>
      </c>
      <c r="Q34" s="114">
        <f>O34/O51</f>
        <v>0</v>
      </c>
      <c r="R34" s="115"/>
      <c r="S34" s="21">
        <f>'Tables 2'!S180</f>
        <v>21.82</v>
      </c>
      <c r="T34" s="114">
        <f>S34/S5</f>
        <v>5.1697585708531765E-2</v>
      </c>
      <c r="U34" s="114">
        <f>S34/S51</f>
        <v>6.3321628602106869E-2</v>
      </c>
      <c r="V34" s="115"/>
      <c r="W34" s="106">
        <f t="shared" si="2"/>
        <v>21.82</v>
      </c>
      <c r="X34" s="114">
        <f>W34/W5</f>
        <v>1.0436745763360421E-2</v>
      </c>
      <c r="Y34" s="114">
        <f>W34/W51</f>
        <v>1.4223693988501105E-2</v>
      </c>
      <c r="AA34" s="15"/>
      <c r="AB34" s="15"/>
    </row>
    <row r="35" spans="1:28" x14ac:dyDescent="0.2">
      <c r="A35" s="107" t="s">
        <v>14</v>
      </c>
      <c r="B35" s="89"/>
      <c r="C35" s="23">
        <f>SUM(C28:C34)</f>
        <v>55.52000000000001</v>
      </c>
      <c r="D35" s="118">
        <f>C35/C5</f>
        <v>0.12214277857221432</v>
      </c>
      <c r="E35" s="118">
        <f>C35/C51</f>
        <v>0.17960081519102006</v>
      </c>
      <c r="F35" s="119"/>
      <c r="G35" s="23">
        <f>SUM(G28:G34)</f>
        <v>89.510000000000019</v>
      </c>
      <c r="H35" s="118">
        <f>G35/G5</f>
        <v>8.2680583779789402E-2</v>
      </c>
      <c r="I35" s="118">
        <f>G35/G51</f>
        <v>0.11260819243156202</v>
      </c>
      <c r="J35" s="119"/>
      <c r="K35" s="23">
        <f>SUM(K28:K34)</f>
        <v>18.12</v>
      </c>
      <c r="L35" s="118">
        <f>K35/K5</f>
        <v>0.13782612002738268</v>
      </c>
      <c r="M35" s="118">
        <f>K35/K51</f>
        <v>0.21202901942429206</v>
      </c>
      <c r="N35" s="119"/>
      <c r="O35" s="23">
        <f>SUM(O28:O34)</f>
        <v>163.15000000000003</v>
      </c>
      <c r="P35" s="118">
        <f>O35/O5</f>
        <v>9.7775407222734964E-2</v>
      </c>
      <c r="Q35" s="118">
        <f>O35/O51</f>
        <v>0.13716192926261278</v>
      </c>
      <c r="R35" s="119"/>
      <c r="S35" s="23">
        <f>SUM(S28:S34)</f>
        <v>44.27</v>
      </c>
      <c r="T35" s="118">
        <f>S35/S5</f>
        <v>0.10488781481744737</v>
      </c>
      <c r="U35" s="118">
        <f>S35/S51</f>
        <v>0.12847151687512701</v>
      </c>
      <c r="V35" s="119"/>
      <c r="W35" s="23">
        <f>SUM(W28:W34)</f>
        <v>207.42000000000002</v>
      </c>
      <c r="X35" s="118">
        <f>W35/W5</f>
        <v>9.9211265180394997E-2</v>
      </c>
      <c r="Y35" s="118">
        <f>W35/W51</f>
        <v>0.13520983533890465</v>
      </c>
      <c r="AA35" s="15"/>
      <c r="AB35" s="15"/>
    </row>
    <row r="36" spans="1:28" x14ac:dyDescent="0.2">
      <c r="A36" s="100"/>
      <c r="B36" s="95"/>
      <c r="C36" s="33"/>
      <c r="D36" s="128"/>
      <c r="E36" s="128"/>
      <c r="F36" s="115"/>
      <c r="G36" s="33"/>
      <c r="H36" s="128"/>
      <c r="I36" s="128"/>
      <c r="J36" s="115"/>
      <c r="K36" s="33"/>
      <c r="L36" s="128"/>
      <c r="M36" s="128"/>
      <c r="N36" s="115"/>
      <c r="O36" s="33"/>
      <c r="P36" s="128"/>
      <c r="Q36" s="128"/>
      <c r="R36" s="115"/>
      <c r="S36" s="33"/>
      <c r="T36" s="128"/>
      <c r="U36" s="128"/>
      <c r="V36" s="115"/>
      <c r="W36" s="33"/>
      <c r="X36" s="129"/>
      <c r="Y36" s="129"/>
      <c r="AA36" s="15"/>
      <c r="AB36" s="15"/>
    </row>
    <row r="37" spans="1:28" x14ac:dyDescent="0.2">
      <c r="A37" s="126" t="s">
        <v>32</v>
      </c>
      <c r="B37" s="111"/>
      <c r="C37" s="127"/>
      <c r="D37" s="130"/>
      <c r="E37" s="130"/>
      <c r="F37" s="125"/>
      <c r="G37" s="127"/>
      <c r="H37" s="130"/>
      <c r="I37" s="130"/>
      <c r="J37" s="125"/>
      <c r="K37" s="127"/>
      <c r="L37" s="130"/>
      <c r="M37" s="130"/>
      <c r="N37" s="125"/>
      <c r="O37" s="127"/>
      <c r="P37" s="130"/>
      <c r="Q37" s="130"/>
      <c r="R37" s="125"/>
      <c r="S37" s="127"/>
      <c r="T37" s="130"/>
      <c r="U37" s="130"/>
      <c r="V37" s="125"/>
      <c r="W37" s="127"/>
      <c r="X37" s="131"/>
      <c r="Y37" s="131"/>
      <c r="AA37" s="15"/>
      <c r="AB37" s="15"/>
    </row>
    <row r="38" spans="1:28" x14ac:dyDescent="0.2">
      <c r="A38" s="94" t="s">
        <v>33</v>
      </c>
      <c r="B38" s="95"/>
      <c r="C38" s="21">
        <f>'Tables 2'!T24</f>
        <v>22.79</v>
      </c>
      <c r="D38" s="132">
        <f>C38/C5</f>
        <v>5.0137498625013759E-2</v>
      </c>
      <c r="E38" s="114">
        <f>C38/C51</f>
        <v>7.3723029146313873E-2</v>
      </c>
      <c r="F38" s="115"/>
      <c r="G38" s="21">
        <f>'Tables 2'!T107</f>
        <v>30.67</v>
      </c>
      <c r="H38" s="132">
        <f>G38/G5</f>
        <v>2.8329946425272489E-2</v>
      </c>
      <c r="I38" s="114">
        <f>G38/G51</f>
        <v>3.8584440418679554E-2</v>
      </c>
      <c r="J38" s="115"/>
      <c r="K38" s="21">
        <f>'Tables 2'!T130</f>
        <v>0</v>
      </c>
      <c r="L38" s="133">
        <f>K38/K5</f>
        <v>0</v>
      </c>
      <c r="M38" s="114">
        <f>K38/K51</f>
        <v>0</v>
      </c>
      <c r="N38" s="115"/>
      <c r="O38" s="106">
        <f>C38+G38+K38</f>
        <v>53.46</v>
      </c>
      <c r="P38" s="122">
        <f>O38/O5</f>
        <v>3.2038450935503587E-2</v>
      </c>
      <c r="Q38" s="114">
        <f>O38/O51</f>
        <v>4.4944386995888923E-2</v>
      </c>
      <c r="R38" s="115"/>
      <c r="S38" s="21">
        <f>'Tables 2'!T180</f>
        <v>0</v>
      </c>
      <c r="T38" s="133">
        <f>S38/S5</f>
        <v>0</v>
      </c>
      <c r="U38" s="114">
        <f>S38/S51</f>
        <v>0</v>
      </c>
      <c r="V38" s="115"/>
      <c r="W38" s="106">
        <f>O38+S38</f>
        <v>53.46</v>
      </c>
      <c r="X38" s="134">
        <f>W38/W5</f>
        <v>2.5570505431221271E-2</v>
      </c>
      <c r="Y38" s="114">
        <f>W38/W51</f>
        <v>3.4848702136813431E-2</v>
      </c>
      <c r="AA38" s="15" t="s">
        <v>534</v>
      </c>
      <c r="AB38" s="15"/>
    </row>
    <row r="39" spans="1:28" ht="33.75" x14ac:dyDescent="0.2">
      <c r="A39" s="94" t="s">
        <v>34</v>
      </c>
      <c r="B39" s="95"/>
      <c r="C39" s="21">
        <f>'Tables 2'!U24</f>
        <v>25.07</v>
      </c>
      <c r="D39" s="132">
        <f>C39/C5</f>
        <v>5.5153448465515356E-2</v>
      </c>
      <c r="E39" s="114">
        <f>C39/C51</f>
        <v>8.1098566945945097E-2</v>
      </c>
      <c r="F39" s="115"/>
      <c r="G39" s="21">
        <f>'Tables 2'!U107</f>
        <v>18.89</v>
      </c>
      <c r="H39" s="132">
        <f>G39/G5</f>
        <v>1.7448734527988174E-2</v>
      </c>
      <c r="I39" s="122">
        <f>G39/G51</f>
        <v>2.3764593397745573E-2</v>
      </c>
      <c r="J39" s="115"/>
      <c r="K39" s="21">
        <f>'Tables 2'!U130</f>
        <v>4.33</v>
      </c>
      <c r="L39" s="133">
        <f>K39/K5</f>
        <v>3.2935270403894427E-2</v>
      </c>
      <c r="M39" s="114">
        <f>K39/K51</f>
        <v>5.0666978703487006E-2</v>
      </c>
      <c r="N39" s="115"/>
      <c r="O39" s="106">
        <f>C39+G39+K39</f>
        <v>48.29</v>
      </c>
      <c r="P39" s="122">
        <f>O39/O5</f>
        <v>2.8940082223633899E-2</v>
      </c>
      <c r="Q39" s="122">
        <f>O39/O51</f>
        <v>4.0597913356368802E-2</v>
      </c>
      <c r="R39" s="115"/>
      <c r="S39" s="21">
        <f>'Tables 2'!U180</f>
        <v>0</v>
      </c>
      <c r="T39" s="133">
        <f>S39/S5</f>
        <v>0</v>
      </c>
      <c r="U39" s="114">
        <f>S39/S51</f>
        <v>0</v>
      </c>
      <c r="V39" s="115"/>
      <c r="W39" s="106">
        <f>O39+S39</f>
        <v>48.29</v>
      </c>
      <c r="X39" s="133">
        <f>W39/W5</f>
        <v>2.3097637622029089E-2</v>
      </c>
      <c r="Y39" s="114">
        <f>W39/W51</f>
        <v>3.1478560160619541E-2</v>
      </c>
      <c r="AA39" s="196" t="s">
        <v>638</v>
      </c>
      <c r="AB39" s="15"/>
    </row>
    <row r="40" spans="1:28" ht="22.5" x14ac:dyDescent="0.2">
      <c r="A40" s="107" t="s">
        <v>35</v>
      </c>
      <c r="B40" s="89"/>
      <c r="C40" s="23">
        <f>SUM(C38:C39)</f>
        <v>47.86</v>
      </c>
      <c r="D40" s="135">
        <f>C40/C5</f>
        <v>0.10529094709052912</v>
      </c>
      <c r="E40" s="118">
        <f>C40/C51</f>
        <v>0.15482159609225898</v>
      </c>
      <c r="F40" s="119"/>
      <c r="G40" s="23">
        <f>SUM(G38:G39)</f>
        <v>49.56</v>
      </c>
      <c r="H40" s="135">
        <f>G40/G5</f>
        <v>4.5778680953260667E-2</v>
      </c>
      <c r="I40" s="118">
        <f>G40/G51</f>
        <v>6.2349033816425127E-2</v>
      </c>
      <c r="J40" s="119"/>
      <c r="K40" s="23">
        <f>SUM(K38:K39)</f>
        <v>4.33</v>
      </c>
      <c r="L40" s="118">
        <f>K40/K5</f>
        <v>3.2935270403894427E-2</v>
      </c>
      <c r="M40" s="118">
        <f>K40/K51</f>
        <v>5.0666978703487006E-2</v>
      </c>
      <c r="N40" s="119"/>
      <c r="O40" s="23">
        <f>SUM(O38:O39)</f>
        <v>101.75</v>
      </c>
      <c r="P40" s="123">
        <f>O40/O5</f>
        <v>6.0978533159137489E-2</v>
      </c>
      <c r="Q40" s="123">
        <f>O40/O51</f>
        <v>8.5542300352257725E-2</v>
      </c>
      <c r="R40" s="119"/>
      <c r="S40" s="23">
        <f>SUM(S38:S39)</f>
        <v>0</v>
      </c>
      <c r="T40" s="118">
        <f>S40/S5</f>
        <v>0</v>
      </c>
      <c r="U40" s="118">
        <f>S40/S51</f>
        <v>0</v>
      </c>
      <c r="V40" s="119"/>
      <c r="W40" s="23">
        <f>SUM(W38:W39)</f>
        <v>101.75</v>
      </c>
      <c r="X40" s="118">
        <f>W40/W5</f>
        <v>4.8668143053250359E-2</v>
      </c>
      <c r="Y40" s="118">
        <f>W40/W51</f>
        <v>6.6327262297432965E-2</v>
      </c>
      <c r="AA40" s="196" t="s">
        <v>639</v>
      </c>
      <c r="AB40" s="15"/>
    </row>
    <row r="41" spans="1:28" x14ac:dyDescent="0.2">
      <c r="A41" s="120"/>
      <c r="B41" s="89"/>
      <c r="C41" s="119"/>
      <c r="D41" s="121"/>
      <c r="E41" s="121"/>
      <c r="F41" s="119"/>
      <c r="G41" s="119"/>
      <c r="H41" s="136"/>
      <c r="I41" s="121"/>
      <c r="J41" s="119"/>
      <c r="K41" s="119"/>
      <c r="L41" s="121"/>
      <c r="M41" s="121"/>
      <c r="N41" s="119"/>
      <c r="O41" s="119"/>
      <c r="P41" s="121"/>
      <c r="Q41" s="121"/>
      <c r="R41" s="119"/>
      <c r="S41" s="119"/>
      <c r="T41" s="121"/>
      <c r="U41" s="121"/>
      <c r="V41" s="119"/>
      <c r="W41" s="119"/>
      <c r="X41" s="121"/>
      <c r="Y41" s="121"/>
      <c r="AA41" s="15"/>
      <c r="AB41" s="15"/>
    </row>
    <row r="42" spans="1:28" x14ac:dyDescent="0.2">
      <c r="A42" s="94" t="s">
        <v>36</v>
      </c>
      <c r="B42" s="95"/>
      <c r="C42" s="21">
        <f>'Tables 2'!W24</f>
        <v>0</v>
      </c>
      <c r="D42" s="137">
        <f>C42/C5</f>
        <v>0</v>
      </c>
      <c r="E42" s="114">
        <f>C42/C51</f>
        <v>0</v>
      </c>
      <c r="F42" s="115"/>
      <c r="G42" s="21">
        <f>'Tables 2'!W107</f>
        <v>46.94</v>
      </c>
      <c r="H42" s="132">
        <f>G42/G5</f>
        <v>4.3358581193423236E-2</v>
      </c>
      <c r="I42" s="114">
        <f>G42/G51</f>
        <v>5.905293880837359E-2</v>
      </c>
      <c r="J42" s="115"/>
      <c r="K42" s="21">
        <f>'Tables 2'!W130</f>
        <v>0</v>
      </c>
      <c r="L42" s="114">
        <f>K42/K5</f>
        <v>0</v>
      </c>
      <c r="M42" s="114">
        <f>K42/K51</f>
        <v>0</v>
      </c>
      <c r="N42" s="115"/>
      <c r="O42" s="106">
        <f>C42+G42+K42</f>
        <v>46.94</v>
      </c>
      <c r="P42" s="132">
        <f>O42/O5</f>
        <v>2.8131030432333302E-2</v>
      </c>
      <c r="Q42" s="114">
        <f>O42/O51</f>
        <v>3.9462954088795847E-2</v>
      </c>
      <c r="R42" s="115"/>
      <c r="S42" s="21">
        <f>'Tables 2'!W180</f>
        <v>0</v>
      </c>
      <c r="T42" s="114">
        <f>S42/S5</f>
        <v>0</v>
      </c>
      <c r="U42" s="114">
        <f>S42/S51</f>
        <v>0</v>
      </c>
      <c r="V42" s="115"/>
      <c r="W42" s="106">
        <f>O42+S42</f>
        <v>46.94</v>
      </c>
      <c r="X42" s="132">
        <f>W42/W5</f>
        <v>2.2451917787907338E-2</v>
      </c>
      <c r="Y42" s="114">
        <f>W42/W51</f>
        <v>3.0598542429891924E-2</v>
      </c>
      <c r="AA42" s="15"/>
      <c r="AB42" s="15"/>
    </row>
    <row r="43" spans="1:28" x14ac:dyDescent="0.2">
      <c r="A43" s="107" t="s">
        <v>37</v>
      </c>
      <c r="B43" s="89"/>
      <c r="C43" s="23">
        <f>C42</f>
        <v>0</v>
      </c>
      <c r="D43" s="135">
        <f>C43/C5</f>
        <v>0</v>
      </c>
      <c r="E43" s="118">
        <f>E42/C51</f>
        <v>0</v>
      </c>
      <c r="F43" s="119"/>
      <c r="G43" s="23">
        <f>G42</f>
        <v>46.94</v>
      </c>
      <c r="H43" s="135">
        <f>G43/G5</f>
        <v>4.3358581193423236E-2</v>
      </c>
      <c r="I43" s="118">
        <f>G43/G51</f>
        <v>5.905293880837359E-2</v>
      </c>
      <c r="J43" s="119"/>
      <c r="K43" s="23">
        <f>K42</f>
        <v>0</v>
      </c>
      <c r="L43" s="118">
        <f>K43/K5</f>
        <v>0</v>
      </c>
      <c r="M43" s="118">
        <f>M42/K51</f>
        <v>0</v>
      </c>
      <c r="N43" s="119"/>
      <c r="O43" s="23">
        <f>O42</f>
        <v>46.94</v>
      </c>
      <c r="P43" s="135">
        <f>O43/O5</f>
        <v>2.8131030432333302E-2</v>
      </c>
      <c r="Q43" s="123">
        <f>O43/O51</f>
        <v>3.9462954088795847E-2</v>
      </c>
      <c r="R43" s="119"/>
      <c r="S43" s="23">
        <f>S42</f>
        <v>0</v>
      </c>
      <c r="T43" s="118">
        <f>S43/S5</f>
        <v>0</v>
      </c>
      <c r="U43" s="118">
        <f>S43/S51</f>
        <v>0</v>
      </c>
      <c r="V43" s="119"/>
      <c r="W43" s="23">
        <f>W42</f>
        <v>46.94</v>
      </c>
      <c r="X43" s="118">
        <f>W43/W5</f>
        <v>2.2451917787907338E-2</v>
      </c>
      <c r="Y43" s="118">
        <f>W43/W51</f>
        <v>3.0598542429891924E-2</v>
      </c>
      <c r="AA43" s="15" t="s">
        <v>535</v>
      </c>
      <c r="AB43" s="15"/>
    </row>
    <row r="44" spans="1:28" x14ac:dyDescent="0.2">
      <c r="A44" s="100"/>
      <c r="B44" s="95"/>
      <c r="C44" s="33"/>
      <c r="D44" s="128"/>
      <c r="E44" s="128"/>
      <c r="F44" s="115"/>
      <c r="G44" s="33"/>
      <c r="H44" s="128"/>
      <c r="I44" s="128"/>
      <c r="J44" s="115"/>
      <c r="K44" s="33"/>
      <c r="L44" s="128"/>
      <c r="M44" s="128"/>
      <c r="N44" s="115"/>
      <c r="O44" s="33"/>
      <c r="P44" s="128"/>
      <c r="Q44" s="128"/>
      <c r="R44" s="115"/>
      <c r="S44" s="33"/>
      <c r="T44" s="128"/>
      <c r="U44" s="128"/>
      <c r="V44" s="115"/>
      <c r="W44" s="33"/>
      <c r="X44" s="128"/>
      <c r="Y44" s="128"/>
      <c r="AA44" s="15"/>
      <c r="AB44" s="15"/>
    </row>
    <row r="45" spans="1:28" x14ac:dyDescent="0.2">
      <c r="A45" s="101" t="s">
        <v>38</v>
      </c>
      <c r="B45" s="111"/>
      <c r="C45" s="124"/>
      <c r="D45" s="138"/>
      <c r="E45" s="138"/>
      <c r="F45" s="125"/>
      <c r="G45" s="124"/>
      <c r="H45" s="138"/>
      <c r="I45" s="138"/>
      <c r="J45" s="125"/>
      <c r="K45" s="124"/>
      <c r="L45" s="138"/>
      <c r="M45" s="138"/>
      <c r="N45" s="125"/>
      <c r="O45" s="124"/>
      <c r="P45" s="138"/>
      <c r="Q45" s="138"/>
      <c r="R45" s="125"/>
      <c r="S45" s="124"/>
      <c r="T45" s="138"/>
      <c r="U45" s="138"/>
      <c r="V45" s="125"/>
      <c r="W45" s="124"/>
      <c r="X45" s="138"/>
      <c r="Y45" s="138"/>
      <c r="AA45" s="15"/>
      <c r="AB45" s="15"/>
    </row>
    <row r="46" spans="1:28" x14ac:dyDescent="0.2">
      <c r="A46" s="94" t="s">
        <v>39</v>
      </c>
      <c r="B46" s="95"/>
      <c r="C46" s="21">
        <f>'Tables 2'!Z24</f>
        <v>11.03</v>
      </c>
      <c r="D46" s="114">
        <f>C46/C5</f>
        <v>2.4265757342426579E-2</v>
      </c>
      <c r="E46" s="114">
        <f>C46/C51</f>
        <v>3.5680781548215974E-2</v>
      </c>
      <c r="F46" s="115"/>
      <c r="G46" s="21">
        <f>'Tables 2'!Z107</f>
        <v>18.64</v>
      </c>
      <c r="H46" s="114">
        <f>G46/G5</f>
        <v>1.7217808978385367E-2</v>
      </c>
      <c r="I46" s="114">
        <f>G46/G51</f>
        <v>2.3450080515297907E-2</v>
      </c>
      <c r="J46" s="115"/>
      <c r="K46" s="21">
        <f>'Tables 2'!Z130</f>
        <v>10.039999999999999</v>
      </c>
      <c r="L46" s="114">
        <f>K46/K5</f>
        <v>7.6367232068152421E-2</v>
      </c>
      <c r="M46" s="114">
        <f>K46/K51</f>
        <v>0.11748186285981743</v>
      </c>
      <c r="N46" s="115"/>
      <c r="O46" s="106">
        <f>C46+G46+K46</f>
        <v>39.71</v>
      </c>
      <c r="P46" s="114">
        <f>O46/O5</f>
        <v>2.3798108616701227E-2</v>
      </c>
      <c r="Q46" s="114">
        <f>O46/O51</f>
        <v>3.338461667801626E-2</v>
      </c>
      <c r="R46" s="115"/>
      <c r="S46" s="21">
        <f>'Tables 2'!Z180</f>
        <v>12.29</v>
      </c>
      <c r="T46" s="114">
        <f>S46/S5</f>
        <v>2.9118392683678065E-2</v>
      </c>
      <c r="U46" s="114">
        <f>S46/S51</f>
        <v>3.5665573580196765E-2</v>
      </c>
      <c r="V46" s="115"/>
      <c r="W46" s="106">
        <f>O46+S46</f>
        <v>52</v>
      </c>
      <c r="X46" s="114">
        <f>W46/W5</f>
        <v>2.4872171388393306E-2</v>
      </c>
      <c r="Y46" s="114">
        <f>W46/W51</f>
        <v>3.3896979257656161E-2</v>
      </c>
      <c r="AA46" s="15"/>
      <c r="AB46" s="15"/>
    </row>
    <row r="47" spans="1:28" ht="33.75" x14ac:dyDescent="0.2">
      <c r="A47" s="94" t="s">
        <v>40</v>
      </c>
      <c r="B47" s="95"/>
      <c r="C47" s="21">
        <f>'Tables 2'!X24</f>
        <v>10.46</v>
      </c>
      <c r="D47" s="114">
        <f>C47/C5</f>
        <v>2.3011769882301185E-2</v>
      </c>
      <c r="E47" s="114">
        <f>C47/C51</f>
        <v>3.3836897098308172E-2</v>
      </c>
      <c r="F47" s="115"/>
      <c r="G47" s="21">
        <f>'Tables 2'!X107</f>
        <v>0</v>
      </c>
      <c r="H47" s="114">
        <f>G47/G5</f>
        <v>0</v>
      </c>
      <c r="I47" s="114">
        <f>G47/G51</f>
        <v>0</v>
      </c>
      <c r="J47" s="115"/>
      <c r="K47" s="21">
        <f>'Tables 2'!X130</f>
        <v>0</v>
      </c>
      <c r="L47" s="114">
        <f>K47/K5</f>
        <v>0</v>
      </c>
      <c r="M47" s="114">
        <f>K47/K51</f>
        <v>0</v>
      </c>
      <c r="N47" s="115"/>
      <c r="O47" s="106">
        <f>C47+G47+K47</f>
        <v>10.46</v>
      </c>
      <c r="P47" s="122">
        <f>O47/O5</f>
        <v>6.2686531385216524E-3</v>
      </c>
      <c r="Q47" s="122">
        <f>O47/O51</f>
        <v>8.7938325472689521E-3</v>
      </c>
      <c r="R47" s="115"/>
      <c r="S47" s="21">
        <f>'Tables 2'!X180</f>
        <v>0</v>
      </c>
      <c r="T47" s="114">
        <f>S47/S5</f>
        <v>0</v>
      </c>
      <c r="U47" s="114">
        <f>S47/S51</f>
        <v>0</v>
      </c>
      <c r="V47" s="115"/>
      <c r="W47" s="106">
        <f>O47+S47</f>
        <v>10.46</v>
      </c>
      <c r="X47" s="114">
        <f>W47/W5</f>
        <v>5.0031329369729614E-3</v>
      </c>
      <c r="Y47" s="122">
        <f>W47/W51</f>
        <v>6.8185077506746818E-3</v>
      </c>
      <c r="AA47" s="196" t="s">
        <v>640</v>
      </c>
      <c r="AB47" s="15"/>
    </row>
    <row r="48" spans="1:28" x14ac:dyDescent="0.2">
      <c r="A48" s="94" t="s">
        <v>923</v>
      </c>
      <c r="B48" s="95"/>
      <c r="C48" s="21">
        <f>'Tables 2'!V24</f>
        <v>3</v>
      </c>
      <c r="D48" s="114">
        <f>C48/C5</f>
        <v>6.5999340006599946E-3</v>
      </c>
      <c r="E48" s="114">
        <f>C48/C51</f>
        <v>9.7046549995147714E-3</v>
      </c>
      <c r="F48" s="115"/>
      <c r="G48" s="21">
        <f>'Tables 2'!V107</f>
        <v>12.49</v>
      </c>
      <c r="H48" s="114">
        <f>G48/G5</f>
        <v>1.1537040458156289E-2</v>
      </c>
      <c r="I48" s="114">
        <f>G48/G51</f>
        <v>1.5713063607085347E-2</v>
      </c>
      <c r="J48" s="115"/>
      <c r="K48" s="21">
        <f>'Tables 2'!V130</f>
        <v>0</v>
      </c>
      <c r="L48" s="114">
        <f>K48/K5</f>
        <v>0</v>
      </c>
      <c r="M48" s="114">
        <f>K48/K51</f>
        <v>0</v>
      </c>
      <c r="N48" s="115"/>
      <c r="O48" s="106">
        <f>C48+G48+K48</f>
        <v>15.49</v>
      </c>
      <c r="P48" s="114">
        <f>O48/O5</f>
        <v>9.2831201831453537E-3</v>
      </c>
      <c r="Q48" s="114">
        <f>O48/O51</f>
        <v>1.3022606707188916E-2</v>
      </c>
      <c r="R48" s="115"/>
      <c r="S48" s="21">
        <f>'Tables 2'!V180</f>
        <v>0</v>
      </c>
      <c r="T48" s="114">
        <f>S48/S5</f>
        <v>0</v>
      </c>
      <c r="U48" s="114">
        <f>S48/S51</f>
        <v>0</v>
      </c>
      <c r="V48" s="115"/>
      <c r="W48" s="106">
        <f>O48+S48</f>
        <v>15.49</v>
      </c>
      <c r="X48" s="114">
        <f>W48/W5</f>
        <v>7.409037207811775E-3</v>
      </c>
      <c r="Y48" s="114">
        <f>W48/W51</f>
        <v>1.0097388628867192E-2</v>
      </c>
      <c r="AA48" s="15"/>
      <c r="AB48" s="15"/>
    </row>
    <row r="49" spans="1:28" x14ac:dyDescent="0.2">
      <c r="A49" s="107" t="s">
        <v>14</v>
      </c>
      <c r="B49" s="89"/>
      <c r="C49" s="23">
        <f>SUM(C46:C48)</f>
        <v>24.490000000000002</v>
      </c>
      <c r="D49" s="118">
        <f>C49/C5</f>
        <v>5.3877461225387765E-2</v>
      </c>
      <c r="E49" s="118">
        <f>C49/C51</f>
        <v>7.9222333646038923E-2</v>
      </c>
      <c r="F49" s="119"/>
      <c r="G49" s="23">
        <f>SUM(G46:G48)</f>
        <v>31.130000000000003</v>
      </c>
      <c r="H49" s="118">
        <f>G49/G5</f>
        <v>2.8754849436541656E-2</v>
      </c>
      <c r="I49" s="118">
        <f>G49/G51</f>
        <v>3.9163144122383253E-2</v>
      </c>
      <c r="J49" s="119"/>
      <c r="K49" s="23">
        <f>SUM(K46:K48)</f>
        <v>10.039999999999999</v>
      </c>
      <c r="L49" s="118">
        <f>K49/K5</f>
        <v>7.6367232068152421E-2</v>
      </c>
      <c r="M49" s="118">
        <f>K49/K51</f>
        <v>0.11748186285981743</v>
      </c>
      <c r="N49" s="119"/>
      <c r="O49" s="23">
        <f>SUM(O46:O48)</f>
        <v>65.66</v>
      </c>
      <c r="P49" s="118">
        <f>O49/O5</f>
        <v>3.9349881938368227E-2</v>
      </c>
      <c r="Q49" s="118">
        <f>O49/O51</f>
        <v>5.5201055932474125E-2</v>
      </c>
      <c r="R49" s="119"/>
      <c r="S49" s="23">
        <f>SUM(S46:S48)</f>
        <v>12.29</v>
      </c>
      <c r="T49" s="118">
        <f>S49/S5</f>
        <v>2.9118392683678065E-2</v>
      </c>
      <c r="U49" s="118">
        <f>S49/S51</f>
        <v>3.5665573580196765E-2</v>
      </c>
      <c r="V49" s="119"/>
      <c r="W49" s="23">
        <f>SUM(W46:W48)</f>
        <v>77.95</v>
      </c>
      <c r="X49" s="118">
        <f>W49/W5</f>
        <v>3.7284341533178042E-2</v>
      </c>
      <c r="Y49" s="123">
        <f>W49/W51</f>
        <v>5.0812875637198038E-2</v>
      </c>
      <c r="Z49" s="139"/>
      <c r="AA49" s="15" t="s">
        <v>539</v>
      </c>
      <c r="AB49" s="15"/>
    </row>
    <row r="50" spans="1:28" x14ac:dyDescent="0.2">
      <c r="A50" s="100"/>
      <c r="B50" s="95"/>
      <c r="C50" s="33"/>
      <c r="D50" s="128"/>
      <c r="E50" s="128"/>
      <c r="F50" s="115"/>
      <c r="G50" s="33"/>
      <c r="H50" s="128"/>
      <c r="I50" s="128"/>
      <c r="J50" s="115"/>
      <c r="K50" s="33"/>
      <c r="L50" s="128"/>
      <c r="M50" s="128"/>
      <c r="N50" s="115"/>
      <c r="O50" s="33"/>
      <c r="P50" s="128"/>
      <c r="Q50" s="128"/>
      <c r="R50" s="115"/>
      <c r="S50" s="33"/>
      <c r="T50" s="128"/>
      <c r="U50" s="128"/>
      <c r="V50" s="115"/>
      <c r="W50" s="33"/>
      <c r="X50" s="128"/>
      <c r="Y50" s="128"/>
      <c r="AA50" s="15"/>
      <c r="AB50" s="15"/>
    </row>
    <row r="51" spans="1:28" s="27" customFormat="1" ht="45" x14ac:dyDescent="0.2">
      <c r="A51" s="140" t="s">
        <v>41</v>
      </c>
      <c r="B51" s="141"/>
      <c r="C51" s="142">
        <f>C5-C12-C20-C24-C35-C40-C43-C49</f>
        <v>309.12999999999988</v>
      </c>
      <c r="D51" s="143">
        <f>C51/C5</f>
        <v>0.68007919920800786</v>
      </c>
      <c r="E51" s="144">
        <f>E12+E20+E24+E35+E40+E43+E49</f>
        <v>0.47041697667647936</v>
      </c>
      <c r="F51" s="145"/>
      <c r="G51" s="146">
        <f>G5-G12-G20-G24-G35-G40-G43-G49</f>
        <v>794.88</v>
      </c>
      <c r="H51" s="143">
        <f>G51/G5</f>
        <v>0.73423240347312013</v>
      </c>
      <c r="I51" s="144">
        <f>I12+I20+I24+I35+I40+I43+I49</f>
        <v>0.36196658615136879</v>
      </c>
      <c r="J51" s="145"/>
      <c r="K51" s="142">
        <f>K5-K12-K20-K24-K35-K40-K43-K49</f>
        <v>85.460000000000008</v>
      </c>
      <c r="L51" s="143">
        <f>K51/K5</f>
        <v>0.6500342283410665</v>
      </c>
      <c r="M51" s="144">
        <f>M12+M20+M24+M35+M40+M43+M49</f>
        <v>0.53838052890241039</v>
      </c>
      <c r="N51" s="145"/>
      <c r="O51" s="146">
        <f>O5-O12-O20-O24-O35-O40-O43-O49</f>
        <v>1189.47</v>
      </c>
      <c r="P51" s="143">
        <f>O51/O5</f>
        <v>0.71284654385060708</v>
      </c>
      <c r="Q51" s="144">
        <f>Q12+Q20+Q24+Q35+Q40+Q43+Q49</f>
        <v>0.40282646893154095</v>
      </c>
      <c r="R51" s="145"/>
      <c r="S51" s="142">
        <f>S5-S12-S20-S24-S35-S40-S43-S49</f>
        <v>344.58999999999992</v>
      </c>
      <c r="T51" s="143">
        <f>S51/S5</f>
        <v>0.81642855450517682</v>
      </c>
      <c r="U51" s="147">
        <f>U12+U20+U24+U35+U40+U43+U49</f>
        <v>0.22484691952755456</v>
      </c>
      <c r="V51" s="145"/>
      <c r="W51" s="146">
        <f>W5-W12-W20-W24-W35-W40-W43-W49</f>
        <v>1534.0599999999997</v>
      </c>
      <c r="X51" s="143">
        <f>W51/W5</f>
        <v>0.73375775461689663</v>
      </c>
      <c r="Y51" s="147">
        <f>Y12+Y20+Y24+Y35+Y40+Y43+Y49</f>
        <v>0.3628476070036375</v>
      </c>
      <c r="Z51" s="148"/>
      <c r="AA51" s="198" t="s">
        <v>641</v>
      </c>
      <c r="AB51" s="198" t="s">
        <v>642</v>
      </c>
    </row>
    <row r="52" spans="1:28" x14ac:dyDescent="0.2">
      <c r="U52" s="139"/>
      <c r="Y52" s="139"/>
    </row>
    <row r="53" spans="1:28" x14ac:dyDescent="0.2">
      <c r="Y53" s="149"/>
    </row>
    <row r="54" spans="1:28" x14ac:dyDescent="0.2">
      <c r="AA54" s="199"/>
      <c r="AB54" s="199"/>
    </row>
  </sheetData>
  <sheetProtection algorithmName="SHA-512" hashValue="cAPdDEBsLAyOZesEVbHHVtT0Izt4gPnX9iidTPw8KcRD1hQG5yGvpkCmv3s1JImtbjBv18I6HFngxBFM/+s9aw==" saltValue="1bjo4cc/06kw80gK6YTg4A==" spinCount="100000" sheet="1" objects="1" scenarios="1"/>
  <mergeCells count="6">
    <mergeCell ref="W3:Y3"/>
    <mergeCell ref="C3:E3"/>
    <mergeCell ref="G3:I3"/>
    <mergeCell ref="K3:M3"/>
    <mergeCell ref="O3:Q3"/>
    <mergeCell ref="S3:U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185"/>
  <sheetViews>
    <sheetView zoomScale="110" zoomScaleNormal="110" workbookViewId="0">
      <pane xSplit="1" topLeftCell="B1" activePane="topRight" state="frozen"/>
      <selection pane="topRight" sqref="A1:XFD1048576"/>
    </sheetView>
  </sheetViews>
  <sheetFormatPr defaultColWidth="9.140625" defaultRowHeight="11.25" x14ac:dyDescent="0.2"/>
  <cols>
    <col min="1" max="1" width="18.7109375" style="4" customWidth="1"/>
    <col min="2" max="34" width="7.7109375" style="4" customWidth="1"/>
    <col min="35" max="35" width="4" style="478" customWidth="1"/>
    <col min="36" max="36" width="24.42578125" style="17" bestFit="1" customWidth="1"/>
    <col min="37" max="37" width="43.7109375" style="205" customWidth="1"/>
    <col min="38" max="38" width="41.7109375" style="17" customWidth="1"/>
    <col min="39" max="39" width="35.7109375" style="4" customWidth="1"/>
    <col min="40" max="16384" width="9.140625" style="4"/>
  </cols>
  <sheetData>
    <row r="1" spans="1:38" x14ac:dyDescent="0.2">
      <c r="A1" s="18"/>
      <c r="B1" s="18"/>
      <c r="C1" s="483" t="s">
        <v>11</v>
      </c>
      <c r="D1" s="483"/>
      <c r="E1" s="483"/>
      <c r="F1" s="483"/>
      <c r="G1" s="483" t="s">
        <v>42</v>
      </c>
      <c r="H1" s="483"/>
      <c r="I1" s="483"/>
      <c r="J1" s="483"/>
      <c r="K1" s="483"/>
      <c r="L1" s="483"/>
      <c r="M1" s="483" t="s">
        <v>24</v>
      </c>
      <c r="N1" s="483"/>
      <c r="O1" s="483"/>
      <c r="P1" s="483"/>
      <c r="Q1" s="483"/>
      <c r="R1" s="483"/>
      <c r="S1" s="483"/>
      <c r="T1" s="484" t="s">
        <v>43</v>
      </c>
      <c r="U1" s="484"/>
      <c r="V1" s="483" t="s">
        <v>38</v>
      </c>
      <c r="W1" s="483"/>
      <c r="X1" s="483"/>
      <c r="Y1" s="483"/>
      <c r="Z1" s="483"/>
      <c r="AA1" s="485" t="s">
        <v>44</v>
      </c>
      <c r="AB1" s="483" t="s">
        <v>45</v>
      </c>
      <c r="AC1" s="483"/>
      <c r="AD1" s="483"/>
      <c r="AE1" s="483"/>
      <c r="AF1" s="483" t="s">
        <v>46</v>
      </c>
      <c r="AG1" s="483"/>
      <c r="AH1" s="483"/>
    </row>
    <row r="2" spans="1:38" s="14" customFormat="1" ht="83.25" x14ac:dyDescent="0.2">
      <c r="A2" s="19" t="s">
        <v>47</v>
      </c>
      <c r="B2" s="44" t="s">
        <v>48</v>
      </c>
      <c r="C2" s="44" t="s">
        <v>958</v>
      </c>
      <c r="D2" s="44" t="s">
        <v>932</v>
      </c>
      <c r="E2" s="44" t="s">
        <v>12</v>
      </c>
      <c r="F2" s="44" t="s">
        <v>49</v>
      </c>
      <c r="G2" s="44" t="s">
        <v>50</v>
      </c>
      <c r="H2" s="44" t="s">
        <v>17</v>
      </c>
      <c r="I2" s="44" t="s">
        <v>18</v>
      </c>
      <c r="J2" s="44" t="s">
        <v>20</v>
      </c>
      <c r="K2" s="44" t="s">
        <v>19</v>
      </c>
      <c r="L2" s="44" t="s">
        <v>51</v>
      </c>
      <c r="M2" s="44" t="s">
        <v>25</v>
      </c>
      <c r="N2" s="44" t="s">
        <v>26</v>
      </c>
      <c r="O2" s="44" t="s">
        <v>27</v>
      </c>
      <c r="P2" s="44" t="s">
        <v>28</v>
      </c>
      <c r="Q2" s="44" t="s">
        <v>29</v>
      </c>
      <c r="R2" s="44" t="s">
        <v>30</v>
      </c>
      <c r="S2" s="44" t="s">
        <v>31</v>
      </c>
      <c r="T2" s="44" t="s">
        <v>33</v>
      </c>
      <c r="U2" s="44" t="s">
        <v>52</v>
      </c>
      <c r="V2" s="44" t="s">
        <v>923</v>
      </c>
      <c r="W2" s="44" t="s">
        <v>53</v>
      </c>
      <c r="X2" s="44" t="s">
        <v>54</v>
      </c>
      <c r="Y2" s="44" t="s">
        <v>55</v>
      </c>
      <c r="Z2" s="44" t="s">
        <v>56</v>
      </c>
      <c r="AA2" s="485"/>
      <c r="AB2" s="44" t="s">
        <v>57</v>
      </c>
      <c r="AC2" s="44" t="s">
        <v>58</v>
      </c>
      <c r="AD2" s="44" t="s">
        <v>59</v>
      </c>
      <c r="AE2" s="44" t="s">
        <v>60</v>
      </c>
      <c r="AF2" s="44" t="s">
        <v>61</v>
      </c>
      <c r="AG2" s="44" t="s">
        <v>62</v>
      </c>
      <c r="AH2" s="44" t="s">
        <v>63</v>
      </c>
      <c r="AI2" s="479"/>
      <c r="AJ2" s="193" t="s">
        <v>628</v>
      </c>
      <c r="AK2" s="193" t="s">
        <v>628</v>
      </c>
      <c r="AL2" s="280" t="s">
        <v>915</v>
      </c>
    </row>
    <row r="3" spans="1:38" x14ac:dyDescent="0.2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0"/>
      <c r="AB3" s="20"/>
      <c r="AC3" s="20"/>
      <c r="AD3" s="20"/>
      <c r="AE3" s="20"/>
      <c r="AF3" s="20"/>
      <c r="AG3" s="20"/>
      <c r="AH3" s="20"/>
      <c r="AJ3" s="194"/>
      <c r="AK3" s="206"/>
    </row>
    <row r="4" spans="1:38" s="90" customFormat="1" ht="22.5" x14ac:dyDescent="0.25">
      <c r="A4" s="150" t="s">
        <v>65</v>
      </c>
      <c r="B4" s="21">
        <v>76.819999999999993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>
        <v>11.45</v>
      </c>
      <c r="Q4" s="21"/>
      <c r="R4" s="21">
        <v>0.86</v>
      </c>
      <c r="S4" s="21"/>
      <c r="T4" s="21"/>
      <c r="U4" s="21">
        <v>2.7</v>
      </c>
      <c r="V4" s="21"/>
      <c r="W4" s="21"/>
      <c r="X4" s="21"/>
      <c r="Y4" s="21"/>
      <c r="Z4" s="21"/>
      <c r="AA4" s="21">
        <f t="shared" ref="AA4:AA14" si="0">B4-(SUM(C4:Z4))</f>
        <v>61.809999999999995</v>
      </c>
      <c r="AB4" s="114">
        <f t="shared" ref="AB4:AB13" si="1">AA4/B4</f>
        <v>0.80460817495443893</v>
      </c>
      <c r="AC4" s="134">
        <f>T4/AA4</f>
        <v>0</v>
      </c>
      <c r="AD4" s="114">
        <f>U4/AA4</f>
        <v>4.3682252062773021E-2</v>
      </c>
      <c r="AE4" s="114">
        <f>(T4+U4)/AA4</f>
        <v>4.3682252062773021E-2</v>
      </c>
      <c r="AF4" s="114">
        <v>3.9699999999999999E-2</v>
      </c>
      <c r="AG4" s="122">
        <f>AD4-AF4</f>
        <v>3.9822520627730215E-3</v>
      </c>
      <c r="AH4" s="151">
        <f>U4-(AA4*AF4)</f>
        <v>0.24614300000000044</v>
      </c>
      <c r="AI4" s="480"/>
      <c r="AJ4" s="195" t="s">
        <v>643</v>
      </c>
      <c r="AK4" s="196"/>
      <c r="AL4" s="110"/>
    </row>
    <row r="5" spans="1:38" s="154" customFormat="1" x14ac:dyDescent="0.25">
      <c r="A5" s="152" t="s">
        <v>66</v>
      </c>
      <c r="B5" s="22">
        <v>56.77</v>
      </c>
      <c r="C5" s="22">
        <v>2.27</v>
      </c>
      <c r="D5" s="22">
        <v>1.85</v>
      </c>
      <c r="E5" s="22"/>
      <c r="F5" s="22"/>
      <c r="G5" s="22">
        <v>0.8</v>
      </c>
      <c r="H5" s="22"/>
      <c r="I5" s="22"/>
      <c r="J5" s="22"/>
      <c r="K5" s="22"/>
      <c r="L5" s="22">
        <v>3.5</v>
      </c>
      <c r="M5" s="22"/>
      <c r="N5" s="22"/>
      <c r="O5" s="22"/>
      <c r="P5" s="22"/>
      <c r="Q5" s="22"/>
      <c r="R5" s="22"/>
      <c r="S5" s="22"/>
      <c r="T5" s="22">
        <v>9.83</v>
      </c>
      <c r="U5" s="22">
        <v>0.03</v>
      </c>
      <c r="V5" s="22"/>
      <c r="W5" s="22"/>
      <c r="X5" s="22"/>
      <c r="Y5" s="22"/>
      <c r="Z5" s="22"/>
      <c r="AA5" s="22">
        <f t="shared" si="0"/>
        <v>38.49</v>
      </c>
      <c r="AB5" s="153">
        <f t="shared" si="1"/>
        <v>0.67799894310375197</v>
      </c>
      <c r="AC5" s="153">
        <f>T5/AA5</f>
        <v>0.25539101065211745</v>
      </c>
      <c r="AD5" s="153">
        <f t="shared" ref="AD5:AD24" si="2">U5/AA5</f>
        <v>7.7942322681215891E-4</v>
      </c>
      <c r="AE5" s="153">
        <f t="shared" ref="AE5:AE24" si="3">(T5+U5)/AA5</f>
        <v>0.25617043387892957</v>
      </c>
      <c r="AF5" s="153">
        <v>3.9699999999999999E-2</v>
      </c>
      <c r="AG5" s="153">
        <f t="shared" ref="AG5:AG20" si="4">AD5-AF5</f>
        <v>-3.8920576773187839E-2</v>
      </c>
      <c r="AH5" s="22">
        <f t="shared" ref="AH5:AH13" si="5">U5-(AA5*AF5)</f>
        <v>-1.4980530000000001</v>
      </c>
      <c r="AI5" s="169"/>
      <c r="AJ5" s="22"/>
      <c r="AK5" s="207"/>
      <c r="AL5" s="281"/>
    </row>
    <row r="6" spans="1:38" s="90" customFormat="1" x14ac:dyDescent="0.25">
      <c r="A6" s="150" t="s">
        <v>67</v>
      </c>
      <c r="B6" s="21">
        <v>12.73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51">
        <v>5.3</v>
      </c>
      <c r="Q6" s="21"/>
      <c r="R6" s="21"/>
      <c r="S6" s="21"/>
      <c r="T6" s="21"/>
      <c r="U6" s="21">
        <v>1.52</v>
      </c>
      <c r="V6" s="21"/>
      <c r="W6" s="21"/>
      <c r="X6" s="21"/>
      <c r="Y6" s="21"/>
      <c r="Z6" s="21"/>
      <c r="AA6" s="21">
        <f t="shared" si="0"/>
        <v>5.91</v>
      </c>
      <c r="AB6" s="114">
        <f t="shared" si="1"/>
        <v>0.46425765907305577</v>
      </c>
      <c r="AC6" s="134">
        <f t="shared" ref="AC6:AC24" si="6">T6/AA6</f>
        <v>0</v>
      </c>
      <c r="AD6" s="114">
        <f t="shared" si="2"/>
        <v>0.25719120135363788</v>
      </c>
      <c r="AE6" s="114">
        <f t="shared" si="3"/>
        <v>0.25719120135363788</v>
      </c>
      <c r="AF6" s="114">
        <v>3.9699999999999999E-2</v>
      </c>
      <c r="AG6" s="133">
        <f t="shared" si="4"/>
        <v>0.21749120135363786</v>
      </c>
      <c r="AH6" s="35">
        <f t="shared" si="5"/>
        <v>1.2853730000000001</v>
      </c>
      <c r="AI6" s="169"/>
      <c r="AJ6" s="21"/>
      <c r="AK6" s="196" t="s">
        <v>916</v>
      </c>
      <c r="AL6" s="196" t="s">
        <v>876</v>
      </c>
    </row>
    <row r="7" spans="1:38" s="154" customFormat="1" x14ac:dyDescent="0.25">
      <c r="A7" s="152" t="s">
        <v>68</v>
      </c>
      <c r="B7" s="22">
        <v>46.36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>
        <v>2.6</v>
      </c>
      <c r="Q7" s="22"/>
      <c r="R7" s="22"/>
      <c r="S7" s="22"/>
      <c r="T7" s="22">
        <v>4</v>
      </c>
      <c r="U7" s="22">
        <v>1.48</v>
      </c>
      <c r="V7" s="22"/>
      <c r="W7" s="22"/>
      <c r="X7" s="22"/>
      <c r="Y7" s="22"/>
      <c r="Z7" s="22"/>
      <c r="AA7" s="22">
        <f t="shared" si="0"/>
        <v>38.28</v>
      </c>
      <c r="AB7" s="153">
        <f t="shared" si="1"/>
        <v>0.82571182053494396</v>
      </c>
      <c r="AC7" s="153">
        <f t="shared" si="6"/>
        <v>0.1044932079414838</v>
      </c>
      <c r="AD7" s="153">
        <f t="shared" si="2"/>
        <v>3.8662486938349006E-2</v>
      </c>
      <c r="AE7" s="153">
        <f t="shared" si="3"/>
        <v>0.14315569487983282</v>
      </c>
      <c r="AF7" s="153">
        <v>3.9699999999999999E-2</v>
      </c>
      <c r="AG7" s="153">
        <f t="shared" si="4"/>
        <v>-1.0375130616509937E-3</v>
      </c>
      <c r="AH7" s="22">
        <f t="shared" si="5"/>
        <v>-3.9716000000000085E-2</v>
      </c>
      <c r="AI7" s="169"/>
      <c r="AJ7" s="22"/>
      <c r="AK7" s="207"/>
      <c r="AL7" s="281"/>
    </row>
    <row r="8" spans="1:38" s="90" customFormat="1" x14ac:dyDescent="0.25">
      <c r="A8" s="150" t="s">
        <v>69</v>
      </c>
      <c r="B8" s="21">
        <v>0.1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>
        <f t="shared" si="0"/>
        <v>0.1</v>
      </c>
      <c r="AB8" s="114">
        <f t="shared" si="1"/>
        <v>1</v>
      </c>
      <c r="AC8" s="134">
        <f t="shared" si="6"/>
        <v>0</v>
      </c>
      <c r="AD8" s="114">
        <f t="shared" si="2"/>
        <v>0</v>
      </c>
      <c r="AE8" s="114">
        <f t="shared" si="3"/>
        <v>0</v>
      </c>
      <c r="AF8" s="114">
        <v>3.9699999999999999E-2</v>
      </c>
      <c r="AG8" s="133">
        <f t="shared" si="4"/>
        <v>-3.9699999999999999E-2</v>
      </c>
      <c r="AH8" s="35">
        <f t="shared" si="5"/>
        <v>-3.9700000000000004E-3</v>
      </c>
      <c r="AI8" s="169"/>
      <c r="AJ8" s="21"/>
      <c r="AK8" s="196"/>
      <c r="AL8" s="110"/>
    </row>
    <row r="9" spans="1:38" s="90" customFormat="1" x14ac:dyDescent="0.25">
      <c r="A9" s="152" t="s">
        <v>70</v>
      </c>
      <c r="B9" s="22">
        <v>57.05</v>
      </c>
      <c r="C9" s="22">
        <v>0.17</v>
      </c>
      <c r="D9" s="22">
        <v>0.16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>
        <v>3.38</v>
      </c>
      <c r="Q9" s="22"/>
      <c r="R9" s="22"/>
      <c r="S9" s="22"/>
      <c r="T9" s="22"/>
      <c r="U9" s="22">
        <v>1.89</v>
      </c>
      <c r="V9" s="22"/>
      <c r="W9" s="22"/>
      <c r="X9" s="22"/>
      <c r="Y9" s="22"/>
      <c r="Z9" s="22"/>
      <c r="AA9" s="22">
        <f t="shared" si="0"/>
        <v>51.449999999999996</v>
      </c>
      <c r="AB9" s="122">
        <f t="shared" si="1"/>
        <v>0.90184049079754602</v>
      </c>
      <c r="AC9" s="153">
        <f t="shared" si="6"/>
        <v>0</v>
      </c>
      <c r="AD9" s="153">
        <f t="shared" si="2"/>
        <v>3.6734693877551024E-2</v>
      </c>
      <c r="AE9" s="153">
        <f t="shared" si="3"/>
        <v>3.6734693877551024E-2</v>
      </c>
      <c r="AF9" s="153">
        <v>3.9699999999999999E-2</v>
      </c>
      <c r="AG9" s="153">
        <f t="shared" si="4"/>
        <v>-2.9653061224489755E-3</v>
      </c>
      <c r="AH9" s="22">
        <f t="shared" si="5"/>
        <v>-0.15256499999999984</v>
      </c>
      <c r="AI9" s="169"/>
      <c r="AJ9" s="22" t="s">
        <v>492</v>
      </c>
      <c r="AK9" s="207"/>
      <c r="AL9" s="110"/>
    </row>
    <row r="10" spans="1:38" s="90" customFormat="1" x14ac:dyDescent="0.25">
      <c r="A10" s="150" t="s">
        <v>71</v>
      </c>
      <c r="B10" s="21">
        <v>17.22</v>
      </c>
      <c r="C10" s="21">
        <v>0.06</v>
      </c>
      <c r="D10" s="21">
        <v>1.84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151">
        <v>2.48</v>
      </c>
      <c r="Q10" s="21"/>
      <c r="R10" s="21">
        <v>0.55000000000000004</v>
      </c>
      <c r="S10" s="21"/>
      <c r="T10" s="21"/>
      <c r="U10" s="21">
        <v>7.0000000000000007E-2</v>
      </c>
      <c r="V10" s="21"/>
      <c r="W10" s="21"/>
      <c r="X10" s="21"/>
      <c r="Y10" s="21"/>
      <c r="Z10" s="21"/>
      <c r="AA10" s="21">
        <f t="shared" si="0"/>
        <v>12.219999999999999</v>
      </c>
      <c r="AB10" s="122">
        <f t="shared" si="1"/>
        <v>0.70963995354239251</v>
      </c>
      <c r="AC10" s="134">
        <f t="shared" si="6"/>
        <v>0</v>
      </c>
      <c r="AD10" s="114">
        <f t="shared" si="2"/>
        <v>5.7283142389525383E-3</v>
      </c>
      <c r="AE10" s="114">
        <f t="shared" si="3"/>
        <v>5.7283142389525383E-3</v>
      </c>
      <c r="AF10" s="114">
        <v>3.9699999999999999E-2</v>
      </c>
      <c r="AG10" s="133">
        <f t="shared" si="4"/>
        <v>-3.3971685761047463E-2</v>
      </c>
      <c r="AH10" s="35">
        <f t="shared" si="5"/>
        <v>-0.41513399999999995</v>
      </c>
      <c r="AI10" s="169"/>
      <c r="AJ10" s="21" t="s">
        <v>493</v>
      </c>
      <c r="AK10" s="196"/>
      <c r="AL10" s="196" t="s">
        <v>875</v>
      </c>
    </row>
    <row r="11" spans="1:38" s="90" customFormat="1" x14ac:dyDescent="0.25">
      <c r="A11" s="152" t="s">
        <v>72</v>
      </c>
      <c r="B11" s="22">
        <v>37.15</v>
      </c>
      <c r="C11" s="22">
        <v>7.0000000000000007E-2</v>
      </c>
      <c r="D11" s="22">
        <v>0.04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151">
        <v>3.36</v>
      </c>
      <c r="Q11" s="22"/>
      <c r="R11" s="22"/>
      <c r="S11" s="22"/>
      <c r="T11" s="22"/>
      <c r="U11" s="22">
        <v>1.63</v>
      </c>
      <c r="V11" s="22"/>
      <c r="W11" s="22"/>
      <c r="X11" s="22"/>
      <c r="Y11" s="22"/>
      <c r="Z11" s="22"/>
      <c r="AA11" s="22">
        <f t="shared" si="0"/>
        <v>32.049999999999997</v>
      </c>
      <c r="AB11" s="122">
        <f t="shared" si="1"/>
        <v>0.86271870794078054</v>
      </c>
      <c r="AC11" s="153">
        <f t="shared" si="6"/>
        <v>0</v>
      </c>
      <c r="AD11" s="153">
        <f t="shared" si="2"/>
        <v>5.0858034321372855E-2</v>
      </c>
      <c r="AE11" s="153">
        <f t="shared" si="3"/>
        <v>5.0858034321372855E-2</v>
      </c>
      <c r="AF11" s="153">
        <v>3.9699999999999999E-2</v>
      </c>
      <c r="AG11" s="153">
        <f t="shared" si="4"/>
        <v>1.1158034321372856E-2</v>
      </c>
      <c r="AH11" s="22">
        <f t="shared" si="5"/>
        <v>0.35761500000000002</v>
      </c>
      <c r="AI11" s="169"/>
      <c r="AJ11" s="22" t="s">
        <v>494</v>
      </c>
      <c r="AK11" s="207"/>
      <c r="AL11" s="207" t="s">
        <v>877</v>
      </c>
    </row>
    <row r="12" spans="1:38" s="90" customFormat="1" x14ac:dyDescent="0.25">
      <c r="A12" s="150" t="s">
        <v>73</v>
      </c>
      <c r="B12" s="21">
        <v>7.88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>
        <v>7.88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>
        <f t="shared" si="0"/>
        <v>0</v>
      </c>
      <c r="AB12" s="114">
        <f t="shared" si="1"/>
        <v>0</v>
      </c>
      <c r="AC12" s="134">
        <v>0</v>
      </c>
      <c r="AD12" s="114">
        <v>0</v>
      </c>
      <c r="AE12" s="114">
        <v>0</v>
      </c>
      <c r="AF12" s="114">
        <v>3.9699999999999999E-2</v>
      </c>
      <c r="AG12" s="133">
        <f t="shared" si="4"/>
        <v>-3.9699999999999999E-2</v>
      </c>
      <c r="AH12" s="35">
        <f t="shared" si="5"/>
        <v>0</v>
      </c>
      <c r="AI12" s="169"/>
      <c r="AJ12" s="21"/>
      <c r="AK12" s="196"/>
      <c r="AL12" s="196"/>
    </row>
    <row r="13" spans="1:38" s="154" customFormat="1" x14ac:dyDescent="0.25">
      <c r="A13" s="152" t="s">
        <v>74</v>
      </c>
      <c r="B13" s="22">
        <v>30.15</v>
      </c>
      <c r="C13" s="22">
        <v>0.25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151">
        <v>2.92</v>
      </c>
      <c r="Q13" s="22"/>
      <c r="R13" s="22"/>
      <c r="S13" s="22"/>
      <c r="T13" s="22"/>
      <c r="U13" s="22">
        <v>0.52</v>
      </c>
      <c r="V13" s="22"/>
      <c r="W13" s="22"/>
      <c r="X13" s="22"/>
      <c r="Y13" s="22"/>
      <c r="Z13" s="22"/>
      <c r="AA13" s="22">
        <f t="shared" si="0"/>
        <v>26.459999999999997</v>
      </c>
      <c r="AB13" s="153">
        <f t="shared" si="1"/>
        <v>0.87761194029850742</v>
      </c>
      <c r="AC13" s="153">
        <f t="shared" si="6"/>
        <v>0</v>
      </c>
      <c r="AD13" s="153">
        <f t="shared" si="2"/>
        <v>1.9652305366591082E-2</v>
      </c>
      <c r="AE13" s="153">
        <f t="shared" si="3"/>
        <v>1.9652305366591082E-2</v>
      </c>
      <c r="AF13" s="153">
        <v>3.9699999999999999E-2</v>
      </c>
      <c r="AG13" s="153">
        <f t="shared" si="4"/>
        <v>-2.0047694633408917E-2</v>
      </c>
      <c r="AH13" s="22">
        <f t="shared" si="5"/>
        <v>-0.53046199999999977</v>
      </c>
      <c r="AI13" s="169"/>
      <c r="AJ13" s="22"/>
      <c r="AK13" s="207"/>
      <c r="AL13" s="207" t="s">
        <v>878</v>
      </c>
    </row>
    <row r="14" spans="1:38" s="90" customFormat="1" x14ac:dyDescent="0.25">
      <c r="A14" s="150" t="s">
        <v>75</v>
      </c>
      <c r="B14" s="21">
        <v>8.15</v>
      </c>
      <c r="C14" s="21">
        <v>0.09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>
        <v>2.35</v>
      </c>
      <c r="Q14" s="21"/>
      <c r="R14" s="21"/>
      <c r="S14" s="21"/>
      <c r="T14" s="21"/>
      <c r="U14" s="21">
        <v>2.75</v>
      </c>
      <c r="V14" s="21"/>
      <c r="W14" s="21"/>
      <c r="X14" s="21">
        <v>1</v>
      </c>
      <c r="Y14" s="21"/>
      <c r="Z14" s="21"/>
      <c r="AA14" s="22">
        <f t="shared" si="0"/>
        <v>1.9600000000000009</v>
      </c>
      <c r="AB14" s="114" t="s">
        <v>76</v>
      </c>
      <c r="AC14" s="114">
        <v>0</v>
      </c>
      <c r="AD14" s="114" t="s">
        <v>76</v>
      </c>
      <c r="AE14" s="114" t="s">
        <v>76</v>
      </c>
      <c r="AF14" s="114">
        <v>3.9699999999999999E-2</v>
      </c>
      <c r="AG14" s="114" t="s">
        <v>76</v>
      </c>
      <c r="AH14" s="133" t="s">
        <v>76</v>
      </c>
      <c r="AI14" s="169"/>
      <c r="AJ14" s="21"/>
      <c r="AK14" s="196"/>
      <c r="AL14" s="196"/>
    </row>
    <row r="15" spans="1:38" s="154" customFormat="1" x14ac:dyDescent="0.25">
      <c r="A15" s="152" t="s">
        <v>77</v>
      </c>
      <c r="B15" s="22">
        <v>10.3</v>
      </c>
      <c r="C15" s="22">
        <v>0.15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>
        <v>1.95</v>
      </c>
      <c r="Q15" s="22"/>
      <c r="R15" s="22"/>
      <c r="S15" s="22"/>
      <c r="T15" s="22"/>
      <c r="U15" s="22">
        <v>4.34</v>
      </c>
      <c r="V15" s="22"/>
      <c r="W15" s="22"/>
      <c r="X15" s="22">
        <v>1.87</v>
      </c>
      <c r="Y15" s="22"/>
      <c r="Z15" s="22"/>
      <c r="AA15" s="22">
        <f t="shared" ref="AA15:AA20" si="7">B15-(SUM(C15:Z15))</f>
        <v>1.990000000000002</v>
      </c>
      <c r="AB15" s="153" t="s">
        <v>76</v>
      </c>
      <c r="AC15" s="153">
        <v>0</v>
      </c>
      <c r="AD15" s="153" t="s">
        <v>76</v>
      </c>
      <c r="AE15" s="153" t="s">
        <v>76</v>
      </c>
      <c r="AF15" s="153">
        <v>3.9699999999999999E-2</v>
      </c>
      <c r="AG15" s="153" t="s">
        <v>76</v>
      </c>
      <c r="AH15" s="153" t="s">
        <v>76</v>
      </c>
      <c r="AI15" s="169"/>
      <c r="AJ15" s="22"/>
      <c r="AK15" s="207"/>
      <c r="AL15" s="207"/>
    </row>
    <row r="16" spans="1:38" s="90" customFormat="1" x14ac:dyDescent="0.25">
      <c r="A16" s="150" t="s">
        <v>78</v>
      </c>
      <c r="B16" s="21">
        <v>8.89</v>
      </c>
      <c r="C16" s="21">
        <v>0.45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>
        <v>0.23</v>
      </c>
      <c r="Q16" s="21"/>
      <c r="R16" s="21"/>
      <c r="S16" s="21"/>
      <c r="T16" s="21"/>
      <c r="U16" s="21">
        <v>2.2000000000000002</v>
      </c>
      <c r="V16" s="21"/>
      <c r="W16" s="21"/>
      <c r="X16" s="21">
        <v>3.87</v>
      </c>
      <c r="Y16" s="21"/>
      <c r="Z16" s="21"/>
      <c r="AA16" s="21">
        <f t="shared" si="7"/>
        <v>2.1400000000000006</v>
      </c>
      <c r="AB16" s="114" t="s">
        <v>76</v>
      </c>
      <c r="AC16" s="114">
        <v>0</v>
      </c>
      <c r="AD16" s="114" t="s">
        <v>76</v>
      </c>
      <c r="AE16" s="114" t="s">
        <v>76</v>
      </c>
      <c r="AF16" s="114">
        <v>3.9699999999999999E-2</v>
      </c>
      <c r="AG16" s="114" t="s">
        <v>76</v>
      </c>
      <c r="AH16" s="133" t="s">
        <v>76</v>
      </c>
      <c r="AI16" s="169"/>
      <c r="AJ16" s="21"/>
      <c r="AK16" s="196"/>
      <c r="AL16" s="196"/>
    </row>
    <row r="17" spans="1:38" s="154" customFormat="1" x14ac:dyDescent="0.25">
      <c r="A17" s="152" t="s">
        <v>79</v>
      </c>
      <c r="B17" s="22">
        <v>8.16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>
        <v>2.17</v>
      </c>
      <c r="Q17" s="22"/>
      <c r="R17" s="22"/>
      <c r="S17" s="22"/>
      <c r="T17" s="22"/>
      <c r="U17" s="22">
        <v>1.1200000000000001</v>
      </c>
      <c r="V17" s="22"/>
      <c r="W17" s="22"/>
      <c r="X17" s="22">
        <v>2.2400000000000002</v>
      </c>
      <c r="Y17" s="22"/>
      <c r="Z17" s="22"/>
      <c r="AA17" s="22">
        <f t="shared" si="7"/>
        <v>2.63</v>
      </c>
      <c r="AB17" s="153" t="s">
        <v>76</v>
      </c>
      <c r="AC17" s="153">
        <v>0</v>
      </c>
      <c r="AD17" s="153" t="s">
        <v>76</v>
      </c>
      <c r="AE17" s="153" t="s">
        <v>76</v>
      </c>
      <c r="AF17" s="153">
        <v>3.9699999999999999E-2</v>
      </c>
      <c r="AG17" s="153" t="s">
        <v>76</v>
      </c>
      <c r="AH17" s="153" t="s">
        <v>76</v>
      </c>
      <c r="AI17" s="169"/>
      <c r="AJ17" s="22"/>
      <c r="AK17" s="207"/>
      <c r="AL17" s="207"/>
    </row>
    <row r="18" spans="1:38" s="90" customFormat="1" x14ac:dyDescent="0.25">
      <c r="A18" s="150" t="s">
        <v>80</v>
      </c>
      <c r="B18" s="21">
        <v>1.48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>
        <v>1.48</v>
      </c>
      <c r="Y18" s="21"/>
      <c r="Z18" s="21"/>
      <c r="AA18" s="21">
        <f t="shared" si="7"/>
        <v>0</v>
      </c>
      <c r="AB18" s="114" t="s">
        <v>76</v>
      </c>
      <c r="AC18" s="114">
        <v>0</v>
      </c>
      <c r="AD18" s="114" t="s">
        <v>76</v>
      </c>
      <c r="AE18" s="114" t="s">
        <v>76</v>
      </c>
      <c r="AF18" s="114">
        <v>3.9699999999999999E-2</v>
      </c>
      <c r="AG18" s="114" t="s">
        <v>76</v>
      </c>
      <c r="AH18" s="133" t="s">
        <v>76</v>
      </c>
      <c r="AI18" s="169"/>
      <c r="AJ18" s="21"/>
      <c r="AK18" s="196"/>
      <c r="AL18" s="196"/>
    </row>
    <row r="19" spans="1:38" s="154" customFormat="1" ht="33.75" x14ac:dyDescent="0.25">
      <c r="A19" s="152" t="s">
        <v>81</v>
      </c>
      <c r="B19" s="22">
        <v>34.72</v>
      </c>
      <c r="C19" s="22">
        <v>0.49</v>
      </c>
      <c r="D19" s="22"/>
      <c r="E19" s="22"/>
      <c r="F19" s="22"/>
      <c r="G19" s="151">
        <v>1</v>
      </c>
      <c r="H19" s="22"/>
      <c r="I19" s="22"/>
      <c r="J19" s="22"/>
      <c r="K19" s="22"/>
      <c r="L19" s="22">
        <v>3.5</v>
      </c>
      <c r="M19" s="22"/>
      <c r="N19" s="22"/>
      <c r="O19" s="22"/>
      <c r="P19" s="22">
        <v>2.2200000000000002</v>
      </c>
      <c r="Q19" s="22"/>
      <c r="R19" s="22"/>
      <c r="S19" s="22"/>
      <c r="T19" s="151">
        <v>8.9600000000000009</v>
      </c>
      <c r="U19" s="22">
        <v>0.6</v>
      </c>
      <c r="V19" s="151">
        <v>3</v>
      </c>
      <c r="W19" s="22"/>
      <c r="X19" s="22"/>
      <c r="Y19" s="22"/>
      <c r="Z19" s="22"/>
      <c r="AA19" s="22">
        <f t="shared" si="7"/>
        <v>14.949999999999996</v>
      </c>
      <c r="AB19" s="153">
        <f t="shared" ref="AB19:AB24" si="8">AA19/B19</f>
        <v>0.43058755760368655</v>
      </c>
      <c r="AC19" s="153">
        <f t="shared" si="6"/>
        <v>0.59933110367892994</v>
      </c>
      <c r="AD19" s="153">
        <f t="shared" si="2"/>
        <v>4.0133779264214055E-2</v>
      </c>
      <c r="AE19" s="153">
        <f t="shared" si="3"/>
        <v>0.63946488294314408</v>
      </c>
      <c r="AF19" s="153">
        <v>3.9699999999999999E-2</v>
      </c>
      <c r="AG19" s="153">
        <f t="shared" si="4"/>
        <v>4.337792642140556E-4</v>
      </c>
      <c r="AH19" s="22">
        <f t="shared" ref="AH19:AH23" si="9">U19-(AA19*AF19)</f>
        <v>6.4850000000001851E-3</v>
      </c>
      <c r="AI19" s="169"/>
      <c r="AJ19" s="22"/>
      <c r="AK19" s="207" t="s">
        <v>715</v>
      </c>
      <c r="AL19" s="207"/>
    </row>
    <row r="20" spans="1:38" s="90" customFormat="1" x14ac:dyDescent="0.25">
      <c r="A20" s="150" t="s">
        <v>82</v>
      </c>
      <c r="B20" s="21">
        <v>29.59</v>
      </c>
      <c r="C20" s="21">
        <v>0.54</v>
      </c>
      <c r="D20" s="21">
        <v>0.32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>
        <v>3.82</v>
      </c>
      <c r="Q20" s="21"/>
      <c r="R20" s="21">
        <v>2</v>
      </c>
      <c r="S20" s="21"/>
      <c r="T20" s="21"/>
      <c r="U20" s="21">
        <v>4.22</v>
      </c>
      <c r="V20" s="21"/>
      <c r="W20" s="21"/>
      <c r="X20" s="21"/>
      <c r="Y20" s="21"/>
      <c r="Z20" s="21"/>
      <c r="AA20" s="21">
        <f t="shared" si="7"/>
        <v>18.690000000000001</v>
      </c>
      <c r="AB20" s="134">
        <f t="shared" si="8"/>
        <v>0.63163230821223393</v>
      </c>
      <c r="AC20" s="134">
        <f t="shared" si="6"/>
        <v>0</v>
      </c>
      <c r="AD20" s="114">
        <f t="shared" si="2"/>
        <v>0.22578919208132689</v>
      </c>
      <c r="AE20" s="114">
        <f t="shared" si="3"/>
        <v>0.22578919208132689</v>
      </c>
      <c r="AF20" s="114">
        <v>3.9699999999999999E-2</v>
      </c>
      <c r="AG20" s="133">
        <f t="shared" si="4"/>
        <v>0.1860891920813269</v>
      </c>
      <c r="AH20" s="35">
        <f t="shared" si="9"/>
        <v>3.4780069999999998</v>
      </c>
      <c r="AI20" s="169"/>
      <c r="AJ20" s="21"/>
      <c r="AK20" s="196"/>
      <c r="AL20" s="196"/>
    </row>
    <row r="21" spans="1:38" s="90" customFormat="1" ht="22.5" x14ac:dyDescent="0.25">
      <c r="A21" s="107" t="s">
        <v>14</v>
      </c>
      <c r="B21" s="23">
        <f>SUM(B4:B20)</f>
        <v>443.51999999999992</v>
      </c>
      <c r="C21" s="23">
        <f t="shared" ref="C21:Z21" si="10">SUM(C4:C20)</f>
        <v>4.54</v>
      </c>
      <c r="D21" s="23">
        <f>SUM(D4:D20)</f>
        <v>4.2100000000000009</v>
      </c>
      <c r="E21" s="23">
        <f t="shared" si="10"/>
        <v>0</v>
      </c>
      <c r="F21" s="23">
        <f t="shared" si="10"/>
        <v>0</v>
      </c>
      <c r="G21" s="23">
        <f t="shared" si="10"/>
        <v>1.8</v>
      </c>
      <c r="H21" s="23">
        <f t="shared" si="10"/>
        <v>0</v>
      </c>
      <c r="I21" s="23">
        <f t="shared" si="10"/>
        <v>0</v>
      </c>
      <c r="J21" s="23">
        <f t="shared" si="10"/>
        <v>0</v>
      </c>
      <c r="K21" s="23">
        <f t="shared" si="10"/>
        <v>0</v>
      </c>
      <c r="L21" s="23">
        <f t="shared" si="10"/>
        <v>7</v>
      </c>
      <c r="M21" s="23">
        <f t="shared" si="10"/>
        <v>0</v>
      </c>
      <c r="N21" s="23">
        <f t="shared" si="10"/>
        <v>0</v>
      </c>
      <c r="O21" s="23">
        <f t="shared" si="10"/>
        <v>0</v>
      </c>
      <c r="P21" s="23">
        <f t="shared" si="10"/>
        <v>52.110000000000007</v>
      </c>
      <c r="Q21" s="23">
        <f t="shared" si="10"/>
        <v>0</v>
      </c>
      <c r="R21" s="23">
        <f t="shared" si="10"/>
        <v>3.41</v>
      </c>
      <c r="S21" s="23">
        <f t="shared" si="10"/>
        <v>0</v>
      </c>
      <c r="T21" s="23">
        <f t="shared" si="10"/>
        <v>22.79</v>
      </c>
      <c r="U21" s="23">
        <f t="shared" si="10"/>
        <v>25.07</v>
      </c>
      <c r="V21" s="23">
        <f t="shared" si="10"/>
        <v>3</v>
      </c>
      <c r="W21" s="23">
        <f t="shared" si="10"/>
        <v>0</v>
      </c>
      <c r="X21" s="23">
        <f t="shared" si="10"/>
        <v>10.46</v>
      </c>
      <c r="Y21" s="23">
        <f t="shared" si="10"/>
        <v>0</v>
      </c>
      <c r="Z21" s="23">
        <f t="shared" si="10"/>
        <v>0</v>
      </c>
      <c r="AA21" s="23">
        <f>SUM(AA4:AA20)</f>
        <v>309.12999999999994</v>
      </c>
      <c r="AB21" s="118">
        <f t="shared" si="8"/>
        <v>0.6969922438672439</v>
      </c>
      <c r="AC21" s="118">
        <f t="shared" si="6"/>
        <v>7.3723029146313859E-2</v>
      </c>
      <c r="AD21" s="118">
        <f t="shared" si="2"/>
        <v>8.1098566945945083E-2</v>
      </c>
      <c r="AE21" s="118">
        <f t="shared" si="3"/>
        <v>0.15482159609225896</v>
      </c>
      <c r="AF21" s="118">
        <v>3.9699999999999999E-2</v>
      </c>
      <c r="AG21" s="123">
        <f>AD21-AF21</f>
        <v>4.1398566945945084E-2</v>
      </c>
      <c r="AH21" s="151">
        <f t="shared" si="9"/>
        <v>12.797539000000002</v>
      </c>
      <c r="AI21" s="480"/>
      <c r="AJ21" s="213" t="s">
        <v>644</v>
      </c>
      <c r="AK21" s="214"/>
      <c r="AL21" s="214"/>
    </row>
    <row r="22" spans="1:38" s="90" customFormat="1" x14ac:dyDescent="0.25">
      <c r="A22" s="150" t="s">
        <v>83</v>
      </c>
      <c r="B22" s="21">
        <v>11.03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11.03</v>
      </c>
      <c r="AA22" s="21">
        <f>B22-(SUM(C22:Z22))</f>
        <v>0</v>
      </c>
      <c r="AB22" s="114">
        <f t="shared" si="8"/>
        <v>0</v>
      </c>
      <c r="AC22" s="134">
        <v>0</v>
      </c>
      <c r="AD22" s="114">
        <v>0</v>
      </c>
      <c r="AE22" s="114">
        <v>0</v>
      </c>
      <c r="AF22" s="114"/>
      <c r="AG22" s="133">
        <v>0</v>
      </c>
      <c r="AH22" s="35">
        <f t="shared" si="9"/>
        <v>0</v>
      </c>
      <c r="AI22" s="169"/>
      <c r="AJ22" s="21"/>
      <c r="AK22" s="196"/>
      <c r="AL22" s="196"/>
    </row>
    <row r="23" spans="1:38" s="90" customFormat="1" x14ac:dyDescent="0.25">
      <c r="A23" s="107" t="s">
        <v>14</v>
      </c>
      <c r="B23" s="23">
        <f>B22</f>
        <v>11.03</v>
      </c>
      <c r="C23" s="23">
        <f t="shared" ref="C23:Z23" si="11">C22</f>
        <v>0</v>
      </c>
      <c r="D23" s="23">
        <f t="shared" si="11"/>
        <v>0</v>
      </c>
      <c r="E23" s="23">
        <f t="shared" si="11"/>
        <v>0</v>
      </c>
      <c r="F23" s="23">
        <f t="shared" si="11"/>
        <v>0</v>
      </c>
      <c r="G23" s="23">
        <f t="shared" si="11"/>
        <v>0</v>
      </c>
      <c r="H23" s="23">
        <f t="shared" si="11"/>
        <v>0</v>
      </c>
      <c r="I23" s="23">
        <f t="shared" si="11"/>
        <v>0</v>
      </c>
      <c r="J23" s="23">
        <f t="shared" si="11"/>
        <v>0</v>
      </c>
      <c r="K23" s="23">
        <f t="shared" si="11"/>
        <v>0</v>
      </c>
      <c r="L23" s="23">
        <f t="shared" si="11"/>
        <v>0</v>
      </c>
      <c r="M23" s="23">
        <f t="shared" si="11"/>
        <v>0</v>
      </c>
      <c r="N23" s="23">
        <f t="shared" si="11"/>
        <v>0</v>
      </c>
      <c r="O23" s="23">
        <f t="shared" si="11"/>
        <v>0</v>
      </c>
      <c r="P23" s="23">
        <f t="shared" si="11"/>
        <v>0</v>
      </c>
      <c r="Q23" s="23">
        <f t="shared" si="11"/>
        <v>0</v>
      </c>
      <c r="R23" s="23">
        <f t="shared" si="11"/>
        <v>0</v>
      </c>
      <c r="S23" s="23">
        <f t="shared" si="11"/>
        <v>0</v>
      </c>
      <c r="T23" s="23">
        <f t="shared" si="11"/>
        <v>0</v>
      </c>
      <c r="U23" s="23">
        <f t="shared" si="11"/>
        <v>0</v>
      </c>
      <c r="V23" s="23">
        <f t="shared" si="11"/>
        <v>0</v>
      </c>
      <c r="W23" s="23">
        <f t="shared" si="11"/>
        <v>0</v>
      </c>
      <c r="X23" s="23">
        <f t="shared" si="11"/>
        <v>0</v>
      </c>
      <c r="Y23" s="23">
        <f t="shared" si="11"/>
        <v>0</v>
      </c>
      <c r="Z23" s="23">
        <f t="shared" si="11"/>
        <v>11.03</v>
      </c>
      <c r="AA23" s="38">
        <f>B23-(SUM(C23:Z23))</f>
        <v>0</v>
      </c>
      <c r="AB23" s="155">
        <f t="shared" si="8"/>
        <v>0</v>
      </c>
      <c r="AC23" s="155">
        <v>0</v>
      </c>
      <c r="AD23" s="155">
        <v>0</v>
      </c>
      <c r="AE23" s="155">
        <v>0</v>
      </c>
      <c r="AF23" s="118"/>
      <c r="AG23" s="118">
        <v>0</v>
      </c>
      <c r="AH23" s="39">
        <f t="shared" si="9"/>
        <v>0</v>
      </c>
      <c r="AI23" s="169"/>
      <c r="AJ23" s="39"/>
      <c r="AK23" s="214"/>
      <c r="AL23" s="214"/>
    </row>
    <row r="24" spans="1:38" s="148" customFormat="1" x14ac:dyDescent="0.25">
      <c r="A24" s="156" t="s">
        <v>84</v>
      </c>
      <c r="B24" s="25">
        <f>B21+B23</f>
        <v>454.5499999999999</v>
      </c>
      <c r="C24" s="25">
        <f t="shared" ref="C24:Z24" si="12">C21+C23</f>
        <v>4.54</v>
      </c>
      <c r="D24" s="25">
        <f t="shared" si="12"/>
        <v>4.2100000000000009</v>
      </c>
      <c r="E24" s="25">
        <f t="shared" si="12"/>
        <v>0</v>
      </c>
      <c r="F24" s="25">
        <f t="shared" si="12"/>
        <v>0</v>
      </c>
      <c r="G24" s="25">
        <f t="shared" si="12"/>
        <v>1.8</v>
      </c>
      <c r="H24" s="25">
        <f t="shared" si="12"/>
        <v>0</v>
      </c>
      <c r="I24" s="25">
        <f t="shared" si="12"/>
        <v>0</v>
      </c>
      <c r="J24" s="25">
        <f t="shared" si="12"/>
        <v>0</v>
      </c>
      <c r="K24" s="25">
        <f t="shared" si="12"/>
        <v>0</v>
      </c>
      <c r="L24" s="25">
        <f t="shared" si="12"/>
        <v>7</v>
      </c>
      <c r="M24" s="25">
        <f t="shared" si="12"/>
        <v>0</v>
      </c>
      <c r="N24" s="25">
        <f t="shared" si="12"/>
        <v>0</v>
      </c>
      <c r="O24" s="25">
        <f t="shared" si="12"/>
        <v>0</v>
      </c>
      <c r="P24" s="25">
        <f t="shared" si="12"/>
        <v>52.110000000000007</v>
      </c>
      <c r="Q24" s="25">
        <f t="shared" si="12"/>
        <v>0</v>
      </c>
      <c r="R24" s="25">
        <f t="shared" si="12"/>
        <v>3.41</v>
      </c>
      <c r="S24" s="25">
        <f t="shared" si="12"/>
        <v>0</v>
      </c>
      <c r="T24" s="25">
        <f t="shared" si="12"/>
        <v>22.79</v>
      </c>
      <c r="U24" s="25">
        <f t="shared" si="12"/>
        <v>25.07</v>
      </c>
      <c r="V24" s="25">
        <f t="shared" si="12"/>
        <v>3</v>
      </c>
      <c r="W24" s="25">
        <f t="shared" si="12"/>
        <v>0</v>
      </c>
      <c r="X24" s="25">
        <f t="shared" si="12"/>
        <v>10.46</v>
      </c>
      <c r="Y24" s="25">
        <f t="shared" si="12"/>
        <v>0</v>
      </c>
      <c r="Z24" s="25">
        <f t="shared" si="12"/>
        <v>11.03</v>
      </c>
      <c r="AA24" s="25">
        <f>AA23+AA21</f>
        <v>309.12999999999994</v>
      </c>
      <c r="AB24" s="157">
        <f t="shared" si="8"/>
        <v>0.68007919920800797</v>
      </c>
      <c r="AC24" s="157">
        <f t="shared" si="6"/>
        <v>7.3723029146313859E-2</v>
      </c>
      <c r="AD24" s="157">
        <f t="shared" si="2"/>
        <v>8.1098566945945083E-2</v>
      </c>
      <c r="AE24" s="157">
        <f t="shared" si="3"/>
        <v>0.15482159609225896</v>
      </c>
      <c r="AF24" s="157"/>
      <c r="AG24" s="158"/>
      <c r="AH24" s="159"/>
      <c r="AI24" s="481"/>
      <c r="AJ24" s="223"/>
      <c r="AK24" s="224"/>
      <c r="AL24" s="224"/>
    </row>
    <row r="25" spans="1:38" s="90" customFormat="1" x14ac:dyDescent="0.25">
      <c r="A25" s="160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161"/>
      <c r="AC25" s="161"/>
      <c r="AD25" s="161"/>
      <c r="AE25" s="161"/>
      <c r="AF25" s="161"/>
      <c r="AG25" s="161"/>
      <c r="AH25" s="28"/>
      <c r="AI25" s="169"/>
      <c r="AJ25" s="209"/>
      <c r="AK25" s="210"/>
      <c r="AL25" s="210"/>
    </row>
    <row r="26" spans="1:38" s="90" customFormat="1" x14ac:dyDescent="0.25">
      <c r="A26" s="162" t="s">
        <v>924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163"/>
      <c r="AC26" s="163"/>
      <c r="AD26" s="163"/>
      <c r="AE26" s="163"/>
      <c r="AF26" s="163"/>
      <c r="AG26" s="163"/>
      <c r="AH26" s="29"/>
      <c r="AI26" s="169"/>
      <c r="AJ26" s="209"/>
      <c r="AK26" s="210"/>
      <c r="AL26" s="210"/>
    </row>
    <row r="27" spans="1:38" s="90" customFormat="1" x14ac:dyDescent="0.25">
      <c r="A27" s="162" t="s">
        <v>85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163"/>
      <c r="AC27" s="163"/>
      <c r="AD27" s="163"/>
      <c r="AE27" s="163"/>
      <c r="AF27" s="163"/>
      <c r="AG27" s="163"/>
      <c r="AH27" s="29"/>
      <c r="AI27" s="169"/>
      <c r="AJ27" s="209"/>
      <c r="AK27" s="210"/>
      <c r="AL27" s="210"/>
    </row>
    <row r="28" spans="1:38" s="90" customFormat="1" x14ac:dyDescent="0.25">
      <c r="A28" s="162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163"/>
      <c r="AC28" s="163"/>
      <c r="AD28" s="163"/>
      <c r="AE28" s="163"/>
      <c r="AF28" s="163"/>
      <c r="AG28" s="163"/>
      <c r="AH28" s="29"/>
      <c r="AI28" s="169"/>
      <c r="AJ28" s="209"/>
      <c r="AK28" s="210"/>
      <c r="AL28" s="210"/>
    </row>
    <row r="29" spans="1:38" s="90" customFormat="1" x14ac:dyDescent="0.25">
      <c r="A29" s="148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164"/>
      <c r="AC29" s="164"/>
      <c r="AD29" s="164"/>
      <c r="AE29" s="164"/>
      <c r="AF29" s="164"/>
      <c r="AG29" s="164"/>
      <c r="AH29" s="30"/>
      <c r="AI29" s="169"/>
      <c r="AJ29" s="209"/>
      <c r="AK29" s="210"/>
      <c r="AL29" s="210"/>
    </row>
    <row r="30" spans="1:38" s="90" customFormat="1" x14ac:dyDescent="0.25">
      <c r="A30" s="165" t="s">
        <v>86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66"/>
      <c r="AC30" s="166"/>
      <c r="AD30" s="166"/>
      <c r="AE30" s="166"/>
      <c r="AF30" s="166"/>
      <c r="AG30" s="166"/>
      <c r="AH30" s="1"/>
      <c r="AI30" s="169"/>
      <c r="AJ30" s="15"/>
      <c r="AK30" s="196"/>
      <c r="AL30" s="196"/>
    </row>
    <row r="31" spans="1:38" s="90" customFormat="1" x14ac:dyDescent="0.25">
      <c r="A31" s="150" t="s">
        <v>87</v>
      </c>
      <c r="B31" s="21">
        <v>17.98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>
        <v>6.14</v>
      </c>
      <c r="Q31" s="21"/>
      <c r="R31" s="21">
        <v>0.93</v>
      </c>
      <c r="S31" s="21"/>
      <c r="T31" s="21"/>
      <c r="U31" s="21">
        <v>1.84</v>
      </c>
      <c r="V31" s="21"/>
      <c r="W31" s="21"/>
      <c r="X31" s="21"/>
      <c r="Y31" s="21"/>
      <c r="Z31" s="21"/>
      <c r="AA31" s="21">
        <f t="shared" ref="AA31:AA55" si="13">B31-(SUM(C31:Z31))</f>
        <v>9.07</v>
      </c>
      <c r="AB31" s="114">
        <f t="shared" ref="AB31:AB62" si="14">AA31/B31</f>
        <v>0.50444938820912122</v>
      </c>
      <c r="AC31" s="133">
        <f>T31/AA31</f>
        <v>0</v>
      </c>
      <c r="AD31" s="133">
        <f>U31/AA31</f>
        <v>0.20286659316427785</v>
      </c>
      <c r="AE31" s="133">
        <f>(T31+U31)/AA31</f>
        <v>0.20286659316427785</v>
      </c>
      <c r="AF31" s="133">
        <v>3.9699999999999999E-2</v>
      </c>
      <c r="AG31" s="133">
        <f>AD31-AF31</f>
        <v>0.16316659316427784</v>
      </c>
      <c r="AH31" s="35">
        <f t="shared" ref="AH31:AH88" si="15">U31-(AA31*AF31)</f>
        <v>1.479921</v>
      </c>
      <c r="AI31" s="169"/>
      <c r="AJ31" s="15"/>
      <c r="AK31" s="196"/>
      <c r="AL31" s="196"/>
    </row>
    <row r="32" spans="1:38" s="154" customFormat="1" x14ac:dyDescent="0.25">
      <c r="A32" s="152" t="s">
        <v>88</v>
      </c>
      <c r="B32" s="22">
        <v>12.98</v>
      </c>
      <c r="C32" s="22"/>
      <c r="D32" s="22"/>
      <c r="E32" s="22"/>
      <c r="F32" s="22"/>
      <c r="G32" s="22"/>
      <c r="H32" s="22"/>
      <c r="I32" s="22"/>
      <c r="J32" s="22"/>
      <c r="K32" s="22"/>
      <c r="L32" s="22">
        <v>0.02</v>
      </c>
      <c r="M32" s="22"/>
      <c r="N32" s="22"/>
      <c r="O32" s="22"/>
      <c r="P32" s="22">
        <v>0.4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>
        <f t="shared" si="13"/>
        <v>12.56</v>
      </c>
      <c r="AB32" s="153">
        <f t="shared" si="14"/>
        <v>0.96764252696456088</v>
      </c>
      <c r="AC32" s="153">
        <f t="shared" ref="AC32:AC89" si="16">T32/AA32</f>
        <v>0</v>
      </c>
      <c r="AD32" s="153">
        <f t="shared" ref="AD32:AD89" si="17">U32/AA32</f>
        <v>0</v>
      </c>
      <c r="AE32" s="153">
        <f t="shared" ref="AE32:AE89" si="18">(T32+U32)/AA32</f>
        <v>0</v>
      </c>
      <c r="AF32" s="153">
        <v>3.9699999999999999E-2</v>
      </c>
      <c r="AG32" s="153">
        <f t="shared" ref="AG32:AG89" si="19">AD32-AF32</f>
        <v>-3.9699999999999999E-2</v>
      </c>
      <c r="AH32" s="22">
        <f t="shared" si="15"/>
        <v>-0.49863200000000002</v>
      </c>
      <c r="AI32" s="169"/>
      <c r="AJ32" s="184"/>
      <c r="AK32" s="207"/>
      <c r="AL32" s="207"/>
    </row>
    <row r="33" spans="1:39" s="90" customFormat="1" x14ac:dyDescent="0.25">
      <c r="A33" s="150" t="s">
        <v>89</v>
      </c>
      <c r="B33" s="21">
        <v>12.95</v>
      </c>
      <c r="C33" s="21"/>
      <c r="D33" s="21"/>
      <c r="E33" s="21"/>
      <c r="F33" s="21"/>
      <c r="G33" s="21"/>
      <c r="H33" s="21"/>
      <c r="I33" s="21"/>
      <c r="J33" s="21"/>
      <c r="K33" s="21"/>
      <c r="L33" s="21">
        <v>0.12</v>
      </c>
      <c r="M33" s="21"/>
      <c r="N33" s="21"/>
      <c r="O33" s="21"/>
      <c r="P33" s="21">
        <v>0.51</v>
      </c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>
        <f t="shared" si="13"/>
        <v>12.319999999999999</v>
      </c>
      <c r="AB33" s="114">
        <f t="shared" si="14"/>
        <v>0.95135135135135129</v>
      </c>
      <c r="AC33" s="133">
        <f t="shared" si="16"/>
        <v>0</v>
      </c>
      <c r="AD33" s="133">
        <f t="shared" si="17"/>
        <v>0</v>
      </c>
      <c r="AE33" s="133">
        <f t="shared" si="18"/>
        <v>0</v>
      </c>
      <c r="AF33" s="133">
        <v>3.9699999999999999E-2</v>
      </c>
      <c r="AG33" s="133">
        <f t="shared" si="19"/>
        <v>-3.9699999999999999E-2</v>
      </c>
      <c r="AH33" s="35">
        <f t="shared" si="15"/>
        <v>-0.48910399999999993</v>
      </c>
      <c r="AI33" s="169"/>
      <c r="AJ33" s="15"/>
      <c r="AK33" s="196"/>
      <c r="AL33" s="196"/>
    </row>
    <row r="34" spans="1:39" s="154" customFormat="1" x14ac:dyDescent="0.25">
      <c r="A34" s="152" t="s">
        <v>90</v>
      </c>
      <c r="B34" s="22">
        <v>12.94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>
        <v>0.65</v>
      </c>
      <c r="Q34" s="22"/>
      <c r="R34" s="22"/>
      <c r="S34" s="22"/>
      <c r="T34" s="22"/>
      <c r="U34" s="22">
        <v>0.09</v>
      </c>
      <c r="V34" s="22"/>
      <c r="W34" s="22"/>
      <c r="X34" s="22"/>
      <c r="Y34" s="22"/>
      <c r="Z34" s="22"/>
      <c r="AA34" s="22">
        <f t="shared" si="13"/>
        <v>12.2</v>
      </c>
      <c r="AB34" s="153">
        <f t="shared" si="14"/>
        <v>0.9428129829984544</v>
      </c>
      <c r="AC34" s="153">
        <f t="shared" si="16"/>
        <v>0</v>
      </c>
      <c r="AD34" s="153">
        <f t="shared" si="17"/>
        <v>7.3770491803278691E-3</v>
      </c>
      <c r="AE34" s="153">
        <f t="shared" si="18"/>
        <v>7.3770491803278691E-3</v>
      </c>
      <c r="AF34" s="153">
        <v>3.9699999999999999E-2</v>
      </c>
      <c r="AG34" s="153">
        <f t="shared" si="19"/>
        <v>-3.2322950819672132E-2</v>
      </c>
      <c r="AH34" s="22">
        <f t="shared" si="15"/>
        <v>-0.39433999999999991</v>
      </c>
      <c r="AI34" s="169"/>
      <c r="AJ34" s="184"/>
      <c r="AK34" s="207"/>
      <c r="AL34" s="207"/>
    </row>
    <row r="35" spans="1:39" s="90" customFormat="1" x14ac:dyDescent="0.25">
      <c r="A35" s="150" t="s">
        <v>91</v>
      </c>
      <c r="B35" s="21">
        <v>12.95</v>
      </c>
      <c r="C35" s="21"/>
      <c r="D35" s="21"/>
      <c r="E35" s="21"/>
      <c r="F35" s="21"/>
      <c r="G35" s="21">
        <v>0.8</v>
      </c>
      <c r="H35" s="21"/>
      <c r="I35" s="21"/>
      <c r="J35" s="21"/>
      <c r="K35" s="21"/>
      <c r="L35" s="21">
        <v>3.5</v>
      </c>
      <c r="M35" s="21"/>
      <c r="N35" s="21"/>
      <c r="O35" s="21"/>
      <c r="P35" s="21">
        <v>1.26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>
        <f t="shared" si="13"/>
        <v>7.39</v>
      </c>
      <c r="AB35" s="114">
        <f t="shared" si="14"/>
        <v>0.57065637065637065</v>
      </c>
      <c r="AC35" s="133">
        <f t="shared" si="16"/>
        <v>0</v>
      </c>
      <c r="AD35" s="133">
        <f t="shared" si="17"/>
        <v>0</v>
      </c>
      <c r="AE35" s="133">
        <f t="shared" si="18"/>
        <v>0</v>
      </c>
      <c r="AF35" s="133">
        <v>3.9699999999999999E-2</v>
      </c>
      <c r="AG35" s="133">
        <f t="shared" si="19"/>
        <v>-3.9699999999999999E-2</v>
      </c>
      <c r="AH35" s="35">
        <f t="shared" si="15"/>
        <v>-0.293383</v>
      </c>
      <c r="AI35" s="169"/>
      <c r="AJ35" s="15"/>
      <c r="AK35" s="196"/>
      <c r="AL35" s="196"/>
    </row>
    <row r="36" spans="1:39" s="154" customFormat="1" x14ac:dyDescent="0.25">
      <c r="A36" s="152" t="s">
        <v>92</v>
      </c>
      <c r="B36" s="22">
        <v>15.15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>
        <f t="shared" si="13"/>
        <v>15.15</v>
      </c>
      <c r="AB36" s="153">
        <f t="shared" si="14"/>
        <v>1</v>
      </c>
      <c r="AC36" s="153">
        <f t="shared" si="16"/>
        <v>0</v>
      </c>
      <c r="AD36" s="153">
        <f t="shared" si="17"/>
        <v>0</v>
      </c>
      <c r="AE36" s="153">
        <f t="shared" si="18"/>
        <v>0</v>
      </c>
      <c r="AF36" s="153">
        <v>3.9699999999999999E-2</v>
      </c>
      <c r="AG36" s="153">
        <f t="shared" si="19"/>
        <v>-3.9699999999999999E-2</v>
      </c>
      <c r="AH36" s="22">
        <f t="shared" si="15"/>
        <v>-0.60145499999999996</v>
      </c>
      <c r="AI36" s="169"/>
      <c r="AJ36" s="184"/>
      <c r="AK36" s="207"/>
      <c r="AL36" s="207"/>
    </row>
    <row r="37" spans="1:39" s="90" customFormat="1" x14ac:dyDescent="0.25">
      <c r="A37" s="150" t="s">
        <v>93</v>
      </c>
      <c r="B37" s="21">
        <v>14.1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>
        <v>0.28000000000000003</v>
      </c>
      <c r="V37" s="21"/>
      <c r="W37" s="21"/>
      <c r="X37" s="21"/>
      <c r="Y37" s="21"/>
      <c r="Z37" s="21"/>
      <c r="AA37" s="21">
        <f t="shared" si="13"/>
        <v>13.82</v>
      </c>
      <c r="AB37" s="114">
        <f t="shared" si="14"/>
        <v>0.98014184397163129</v>
      </c>
      <c r="AC37" s="133">
        <f t="shared" si="16"/>
        <v>0</v>
      </c>
      <c r="AD37" s="133">
        <f t="shared" si="17"/>
        <v>2.0260492040520984E-2</v>
      </c>
      <c r="AE37" s="133">
        <f t="shared" si="18"/>
        <v>2.0260492040520984E-2</v>
      </c>
      <c r="AF37" s="133">
        <v>3.9699999999999999E-2</v>
      </c>
      <c r="AG37" s="133">
        <f t="shared" si="19"/>
        <v>-1.9439507959479015E-2</v>
      </c>
      <c r="AH37" s="35">
        <f t="shared" si="15"/>
        <v>-0.26865399999999995</v>
      </c>
      <c r="AI37" s="169"/>
      <c r="AJ37" s="15"/>
      <c r="AK37" s="196"/>
      <c r="AL37" s="196"/>
    </row>
    <row r="38" spans="1:39" s="154" customFormat="1" x14ac:dyDescent="0.25">
      <c r="A38" s="152" t="s">
        <v>94</v>
      </c>
      <c r="B38" s="22">
        <v>12.44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>
        <v>1.99</v>
      </c>
      <c r="V38" s="22"/>
      <c r="W38" s="22"/>
      <c r="X38" s="22"/>
      <c r="Y38" s="22"/>
      <c r="Z38" s="22"/>
      <c r="AA38" s="22">
        <f t="shared" si="13"/>
        <v>10.45</v>
      </c>
      <c r="AB38" s="153">
        <f t="shared" si="14"/>
        <v>0.840032154340836</v>
      </c>
      <c r="AC38" s="153">
        <f t="shared" si="16"/>
        <v>0</v>
      </c>
      <c r="AD38" s="153">
        <f t="shared" si="17"/>
        <v>0.19043062200956939</v>
      </c>
      <c r="AE38" s="153">
        <f t="shared" si="18"/>
        <v>0.19043062200956939</v>
      </c>
      <c r="AF38" s="153">
        <v>3.9699999999999999E-2</v>
      </c>
      <c r="AG38" s="153">
        <f t="shared" si="19"/>
        <v>0.15073062200956938</v>
      </c>
      <c r="AH38" s="22">
        <f t="shared" si="15"/>
        <v>1.575135</v>
      </c>
      <c r="AI38" s="169"/>
      <c r="AJ38" s="184"/>
      <c r="AK38" s="207"/>
      <c r="AL38" s="207"/>
    </row>
    <row r="39" spans="1:39" s="90" customFormat="1" ht="22.5" x14ac:dyDescent="0.25">
      <c r="A39" s="150" t="s">
        <v>95</v>
      </c>
      <c r="B39" s="21">
        <v>12.04</v>
      </c>
      <c r="C39" s="21">
        <v>0.18</v>
      </c>
      <c r="D39" s="21"/>
      <c r="E39" s="21"/>
      <c r="F39" s="21"/>
      <c r="G39" s="37"/>
      <c r="H39" s="151">
        <v>1.5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>
        <v>0.05</v>
      </c>
      <c r="V39" s="21"/>
      <c r="W39" s="21"/>
      <c r="X39" s="21"/>
      <c r="Y39" s="21"/>
      <c r="Z39" s="21"/>
      <c r="AA39" s="21">
        <f t="shared" si="13"/>
        <v>10.309999999999999</v>
      </c>
      <c r="AB39" s="114">
        <f t="shared" si="14"/>
        <v>0.85631229235880391</v>
      </c>
      <c r="AC39" s="133">
        <f t="shared" si="16"/>
        <v>0</v>
      </c>
      <c r="AD39" s="133">
        <f t="shared" si="17"/>
        <v>4.8496605237633378E-3</v>
      </c>
      <c r="AE39" s="133">
        <f t="shared" si="18"/>
        <v>4.8496605237633378E-3</v>
      </c>
      <c r="AF39" s="133">
        <v>3.9699999999999999E-2</v>
      </c>
      <c r="AG39" s="133">
        <f t="shared" si="19"/>
        <v>-3.4850339476236662E-2</v>
      </c>
      <c r="AH39" s="35">
        <f t="shared" si="15"/>
        <v>-0.35930699999999993</v>
      </c>
      <c r="AI39" s="169"/>
      <c r="AJ39" s="15"/>
      <c r="AK39" s="196" t="s">
        <v>692</v>
      </c>
      <c r="AL39" s="196"/>
    </row>
    <row r="40" spans="1:39" s="154" customFormat="1" ht="22.5" x14ac:dyDescent="0.25">
      <c r="A40" s="152" t="s">
        <v>96</v>
      </c>
      <c r="B40" s="22">
        <v>11.91</v>
      </c>
      <c r="C40" s="22"/>
      <c r="D40" s="22"/>
      <c r="E40" s="22"/>
      <c r="F40" s="22"/>
      <c r="G40" s="151">
        <v>2.89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>
        <v>0.19</v>
      </c>
      <c r="S40" s="22"/>
      <c r="T40" s="22"/>
      <c r="U40" s="22"/>
      <c r="V40" s="22"/>
      <c r="W40" s="22"/>
      <c r="X40" s="22"/>
      <c r="Y40" s="22"/>
      <c r="Z40" s="22"/>
      <c r="AA40" s="22">
        <f t="shared" si="13"/>
        <v>8.83</v>
      </c>
      <c r="AB40" s="153">
        <f t="shared" si="14"/>
        <v>0.74139378673383716</v>
      </c>
      <c r="AC40" s="153">
        <f t="shared" si="16"/>
        <v>0</v>
      </c>
      <c r="AD40" s="153">
        <f t="shared" si="17"/>
        <v>0</v>
      </c>
      <c r="AE40" s="153">
        <f t="shared" si="18"/>
        <v>0</v>
      </c>
      <c r="AF40" s="153">
        <v>3.9699999999999999E-2</v>
      </c>
      <c r="AG40" s="153">
        <f t="shared" si="19"/>
        <v>-3.9699999999999999E-2</v>
      </c>
      <c r="AH40" s="22">
        <f t="shared" si="15"/>
        <v>-0.350551</v>
      </c>
      <c r="AI40" s="169"/>
      <c r="AJ40" s="184"/>
      <c r="AK40" s="207" t="s">
        <v>691</v>
      </c>
      <c r="AL40" s="207"/>
      <c r="AM40" s="282"/>
    </row>
    <row r="41" spans="1:39" s="90" customFormat="1" x14ac:dyDescent="0.25">
      <c r="A41" s="150" t="s">
        <v>97</v>
      </c>
      <c r="B41" s="21">
        <v>31.77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>
        <v>1.36</v>
      </c>
      <c r="Q41" s="21"/>
      <c r="R41" s="21"/>
      <c r="S41" s="21"/>
      <c r="T41" s="21"/>
      <c r="U41" s="21"/>
      <c r="V41" s="21"/>
      <c r="W41" s="21">
        <v>30.41</v>
      </c>
      <c r="X41" s="21"/>
      <c r="Y41" s="21"/>
      <c r="Z41" s="21"/>
      <c r="AA41" s="21">
        <f t="shared" si="13"/>
        <v>0</v>
      </c>
      <c r="AB41" s="114">
        <f t="shared" si="14"/>
        <v>0</v>
      </c>
      <c r="AC41" s="133">
        <v>0</v>
      </c>
      <c r="AD41" s="133">
        <v>0</v>
      </c>
      <c r="AE41" s="133">
        <v>0</v>
      </c>
      <c r="AF41" s="133">
        <v>3.9699999999999999E-2</v>
      </c>
      <c r="AG41" s="133">
        <f t="shared" si="19"/>
        <v>-3.9699999999999999E-2</v>
      </c>
      <c r="AH41" s="35">
        <f t="shared" si="15"/>
        <v>0</v>
      </c>
      <c r="AI41" s="169"/>
      <c r="AJ41" s="15"/>
      <c r="AK41" s="196"/>
      <c r="AL41" s="196"/>
    </row>
    <row r="42" spans="1:39" s="154" customFormat="1" x14ac:dyDescent="0.25">
      <c r="A42" s="152" t="s">
        <v>98</v>
      </c>
      <c r="B42" s="22">
        <v>62.8</v>
      </c>
      <c r="C42" s="22">
        <v>0.19</v>
      </c>
      <c r="D42" s="22">
        <v>0.33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>
        <v>0.79</v>
      </c>
      <c r="S42" s="22"/>
      <c r="T42" s="22"/>
      <c r="U42" s="22">
        <v>1</v>
      </c>
      <c r="V42" s="22"/>
      <c r="W42" s="22">
        <v>0.87</v>
      </c>
      <c r="X42" s="22"/>
      <c r="Y42" s="22"/>
      <c r="Z42" s="22"/>
      <c r="AA42" s="22">
        <f t="shared" si="13"/>
        <v>59.62</v>
      </c>
      <c r="AB42" s="153">
        <f t="shared" si="14"/>
        <v>0.94936305732484072</v>
      </c>
      <c r="AC42" s="153">
        <f t="shared" si="16"/>
        <v>0</v>
      </c>
      <c r="AD42" s="153">
        <f t="shared" si="17"/>
        <v>1.677289500167729E-2</v>
      </c>
      <c r="AE42" s="153">
        <f t="shared" si="18"/>
        <v>1.677289500167729E-2</v>
      </c>
      <c r="AF42" s="153">
        <v>3.9699999999999999E-2</v>
      </c>
      <c r="AG42" s="153">
        <f t="shared" si="19"/>
        <v>-2.2927104998322709E-2</v>
      </c>
      <c r="AH42" s="22">
        <f t="shared" si="15"/>
        <v>-1.366914</v>
      </c>
      <c r="AI42" s="169"/>
      <c r="AJ42" s="184"/>
      <c r="AK42" s="207"/>
      <c r="AL42" s="207"/>
    </row>
    <row r="43" spans="1:39" s="90" customFormat="1" x14ac:dyDescent="0.25">
      <c r="A43" s="150" t="s">
        <v>99</v>
      </c>
      <c r="B43" s="21">
        <v>47.45</v>
      </c>
      <c r="C43" s="21">
        <v>0.03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151">
        <v>2.2000000000000002</v>
      </c>
      <c r="Q43" s="21"/>
      <c r="R43" s="21"/>
      <c r="S43" s="21"/>
      <c r="T43" s="21"/>
      <c r="U43" s="21">
        <v>1.1200000000000001</v>
      </c>
      <c r="V43" s="21"/>
      <c r="W43" s="21">
        <v>15.66</v>
      </c>
      <c r="X43" s="21"/>
      <c r="Y43" s="21"/>
      <c r="Z43" s="21"/>
      <c r="AA43" s="21">
        <f t="shared" si="13"/>
        <v>28.44</v>
      </c>
      <c r="AB43" s="114">
        <f t="shared" si="14"/>
        <v>0.59936775553213906</v>
      </c>
      <c r="AC43" s="133">
        <f t="shared" si="16"/>
        <v>0</v>
      </c>
      <c r="AD43" s="133">
        <f t="shared" si="17"/>
        <v>3.9381153305203941E-2</v>
      </c>
      <c r="AE43" s="133">
        <f t="shared" si="18"/>
        <v>3.9381153305203941E-2</v>
      </c>
      <c r="AF43" s="133">
        <v>3.9699999999999999E-2</v>
      </c>
      <c r="AG43" s="133">
        <f t="shared" si="19"/>
        <v>-3.1884669479605859E-4</v>
      </c>
      <c r="AH43" s="35">
        <f t="shared" si="15"/>
        <v>-9.067999999999854E-3</v>
      </c>
      <c r="AI43" s="169"/>
      <c r="AJ43" s="15"/>
      <c r="AK43" s="196"/>
      <c r="AL43" s="196" t="s">
        <v>879</v>
      </c>
    </row>
    <row r="44" spans="1:39" s="154" customFormat="1" x14ac:dyDescent="0.25">
      <c r="A44" s="152" t="s">
        <v>100</v>
      </c>
      <c r="B44" s="22">
        <v>27.18</v>
      </c>
      <c r="C44" s="22">
        <v>0.06</v>
      </c>
      <c r="D44" s="22">
        <v>0.38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>
        <v>1</v>
      </c>
      <c r="V44" s="22"/>
      <c r="W44" s="22"/>
      <c r="X44" s="22"/>
      <c r="Y44" s="22"/>
      <c r="Z44" s="22"/>
      <c r="AA44" s="22">
        <f t="shared" si="13"/>
        <v>25.74</v>
      </c>
      <c r="AB44" s="153">
        <f t="shared" si="14"/>
        <v>0.94701986754966883</v>
      </c>
      <c r="AC44" s="153">
        <f t="shared" si="16"/>
        <v>0</v>
      </c>
      <c r="AD44" s="153">
        <f t="shared" si="17"/>
        <v>3.8850038850038855E-2</v>
      </c>
      <c r="AE44" s="153">
        <f t="shared" si="18"/>
        <v>3.8850038850038855E-2</v>
      </c>
      <c r="AF44" s="153">
        <v>3.9699999999999999E-2</v>
      </c>
      <c r="AG44" s="153">
        <f t="shared" si="19"/>
        <v>-8.4996114996114397E-4</v>
      </c>
      <c r="AH44" s="22">
        <f t="shared" si="15"/>
        <v>-2.1877999999999842E-2</v>
      </c>
      <c r="AI44" s="169"/>
      <c r="AJ44" s="184"/>
      <c r="AK44" s="207"/>
      <c r="AL44" s="207"/>
    </row>
    <row r="45" spans="1:39" s="90" customFormat="1" x14ac:dyDescent="0.25">
      <c r="A45" s="150" t="s">
        <v>101</v>
      </c>
      <c r="B45" s="21">
        <v>100.18</v>
      </c>
      <c r="C45" s="21">
        <v>2.37</v>
      </c>
      <c r="D45" s="21">
        <v>3.91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151">
        <v>14.98</v>
      </c>
      <c r="Q45" s="21"/>
      <c r="R45" s="21">
        <v>6.49</v>
      </c>
      <c r="S45" s="21"/>
      <c r="T45" s="21">
        <v>4.28</v>
      </c>
      <c r="U45" s="21">
        <v>0.18</v>
      </c>
      <c r="V45" s="151"/>
      <c r="W45" s="21"/>
      <c r="X45" s="21"/>
      <c r="Y45" s="21"/>
      <c r="Z45" s="21"/>
      <c r="AA45" s="21">
        <f t="shared" si="13"/>
        <v>67.97</v>
      </c>
      <c r="AB45" s="114">
        <f t="shared" si="14"/>
        <v>0.67847873827111194</v>
      </c>
      <c r="AC45" s="133">
        <f t="shared" si="16"/>
        <v>6.29689568927468E-2</v>
      </c>
      <c r="AD45" s="133">
        <f t="shared" si="17"/>
        <v>2.6482271590407532E-3</v>
      </c>
      <c r="AE45" s="133">
        <f t="shared" si="18"/>
        <v>6.5617184051787555E-2</v>
      </c>
      <c r="AF45" s="133">
        <v>3.9699999999999999E-2</v>
      </c>
      <c r="AG45" s="133">
        <f t="shared" si="19"/>
        <v>-3.7051772840959243E-2</v>
      </c>
      <c r="AH45" s="35">
        <f t="shared" si="15"/>
        <v>-2.5184089999999997</v>
      </c>
      <c r="AI45" s="169"/>
      <c r="AJ45" s="15"/>
      <c r="AK45" s="196" t="s">
        <v>920</v>
      </c>
      <c r="AL45" s="196" t="s">
        <v>880</v>
      </c>
    </row>
    <row r="46" spans="1:39" s="154" customFormat="1" x14ac:dyDescent="0.25">
      <c r="A46" s="152" t="s">
        <v>102</v>
      </c>
      <c r="B46" s="22">
        <v>14.15</v>
      </c>
      <c r="C46" s="22">
        <v>0.72</v>
      </c>
      <c r="D46" s="22"/>
      <c r="E46" s="22"/>
      <c r="F46" s="22"/>
      <c r="G46" s="22"/>
      <c r="H46" s="22"/>
      <c r="I46" s="22"/>
      <c r="J46" s="22"/>
      <c r="K46" s="22">
        <v>0.4</v>
      </c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>
        <f t="shared" si="13"/>
        <v>13.030000000000001</v>
      </c>
      <c r="AB46" s="153">
        <f t="shared" si="14"/>
        <v>0.92084805653710256</v>
      </c>
      <c r="AC46" s="153">
        <f t="shared" si="16"/>
        <v>0</v>
      </c>
      <c r="AD46" s="153">
        <f t="shared" si="17"/>
        <v>0</v>
      </c>
      <c r="AE46" s="153">
        <f t="shared" si="18"/>
        <v>0</v>
      </c>
      <c r="AF46" s="153">
        <v>3.9699999999999999E-2</v>
      </c>
      <c r="AG46" s="153">
        <f t="shared" si="19"/>
        <v>-3.9699999999999999E-2</v>
      </c>
      <c r="AH46" s="22">
        <f t="shared" si="15"/>
        <v>-0.51729100000000006</v>
      </c>
      <c r="AI46" s="169"/>
      <c r="AJ46" s="184"/>
      <c r="AK46" s="207"/>
      <c r="AL46" s="207"/>
    </row>
    <row r="47" spans="1:39" s="90" customFormat="1" ht="22.5" x14ac:dyDescent="0.25">
      <c r="A47" s="150" t="s">
        <v>103</v>
      </c>
      <c r="B47" s="21">
        <v>12.95</v>
      </c>
      <c r="C47" s="21">
        <v>0.03</v>
      </c>
      <c r="D47" s="21">
        <v>0.52</v>
      </c>
      <c r="E47" s="21"/>
      <c r="F47" s="21"/>
      <c r="G47" s="151"/>
      <c r="H47" s="15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>
        <v>0.28999999999999998</v>
      </c>
      <c r="V47" s="21"/>
      <c r="W47" s="21"/>
      <c r="X47" s="21"/>
      <c r="Y47" s="21"/>
      <c r="Z47" s="21"/>
      <c r="AA47" s="21">
        <f t="shared" si="13"/>
        <v>12.11</v>
      </c>
      <c r="AB47" s="114">
        <f t="shared" si="14"/>
        <v>0.93513513513513513</v>
      </c>
      <c r="AC47" s="133">
        <f t="shared" si="16"/>
        <v>0</v>
      </c>
      <c r="AD47" s="133">
        <f t="shared" si="17"/>
        <v>2.3947151114781171E-2</v>
      </c>
      <c r="AE47" s="133">
        <f t="shared" si="18"/>
        <v>2.3947151114781171E-2</v>
      </c>
      <c r="AF47" s="133">
        <v>3.9699999999999999E-2</v>
      </c>
      <c r="AG47" s="133">
        <f t="shared" si="19"/>
        <v>-1.5752848885218829E-2</v>
      </c>
      <c r="AH47" s="35">
        <f t="shared" si="15"/>
        <v>-0.19076699999999996</v>
      </c>
      <c r="AI47" s="169"/>
      <c r="AJ47" s="15"/>
      <c r="AK47" s="196" t="s">
        <v>716</v>
      </c>
      <c r="AL47" s="196"/>
    </row>
    <row r="48" spans="1:39" s="154" customFormat="1" x14ac:dyDescent="0.25">
      <c r="A48" s="152" t="s">
        <v>104</v>
      </c>
      <c r="B48" s="22">
        <v>0.1</v>
      </c>
      <c r="C48" s="22"/>
      <c r="D48" s="22">
        <v>0.1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>
        <f t="shared" si="13"/>
        <v>0</v>
      </c>
      <c r="AB48" s="153">
        <f t="shared" si="14"/>
        <v>0</v>
      </c>
      <c r="AC48" s="133">
        <v>0</v>
      </c>
      <c r="AD48" s="153">
        <v>0</v>
      </c>
      <c r="AE48" s="153">
        <v>0</v>
      </c>
      <c r="AF48" s="153">
        <v>3.9699999999999999E-2</v>
      </c>
      <c r="AG48" s="153">
        <f t="shared" si="19"/>
        <v>-3.9699999999999999E-2</v>
      </c>
      <c r="AH48" s="22">
        <f t="shared" si="15"/>
        <v>0</v>
      </c>
      <c r="AI48" s="169"/>
      <c r="AJ48" s="184"/>
      <c r="AK48" s="207"/>
      <c r="AL48" s="207"/>
    </row>
    <row r="49" spans="1:38" s="90" customFormat="1" ht="22.5" x14ac:dyDescent="0.25">
      <c r="A49" s="150" t="s">
        <v>105</v>
      </c>
      <c r="B49" s="21">
        <v>12.25</v>
      </c>
      <c r="C49" s="21">
        <v>0.04</v>
      </c>
      <c r="D49" s="21">
        <v>0.27</v>
      </c>
      <c r="E49" s="21"/>
      <c r="F49" s="21"/>
      <c r="G49" s="21"/>
      <c r="H49" s="21"/>
      <c r="I49" s="21"/>
      <c r="J49" s="21"/>
      <c r="K49" s="21"/>
      <c r="L49" s="21">
        <v>1.1599999999999999</v>
      </c>
      <c r="M49" s="21"/>
      <c r="N49" s="21"/>
      <c r="O49" s="21"/>
      <c r="P49" s="21"/>
      <c r="Q49" s="21"/>
      <c r="R49" s="21"/>
      <c r="S49" s="21"/>
      <c r="T49" s="151">
        <v>2.8</v>
      </c>
      <c r="U49" s="21">
        <v>2.62</v>
      </c>
      <c r="V49" s="151"/>
      <c r="W49" s="21"/>
      <c r="X49" s="21"/>
      <c r="Y49" s="21"/>
      <c r="Z49" s="21"/>
      <c r="AA49" s="21">
        <f t="shared" si="13"/>
        <v>5.36</v>
      </c>
      <c r="AB49" s="114">
        <f t="shared" si="14"/>
        <v>0.43755102040816329</v>
      </c>
      <c r="AC49" s="133">
        <f t="shared" si="16"/>
        <v>0.52238805970149249</v>
      </c>
      <c r="AD49" s="133">
        <f t="shared" si="17"/>
        <v>0.4888059701492537</v>
      </c>
      <c r="AE49" s="133">
        <f t="shared" si="18"/>
        <v>1.0111940298507462</v>
      </c>
      <c r="AF49" s="133">
        <v>3.9699999999999999E-2</v>
      </c>
      <c r="AG49" s="133">
        <f t="shared" si="19"/>
        <v>0.44910597014925369</v>
      </c>
      <c r="AH49" s="35">
        <f t="shared" si="15"/>
        <v>2.4072080000000002</v>
      </c>
      <c r="AI49" s="169"/>
      <c r="AJ49" s="15"/>
      <c r="AK49" s="196" t="s">
        <v>717</v>
      </c>
      <c r="AL49" s="196"/>
    </row>
    <row r="50" spans="1:38" s="154" customFormat="1" ht="22.5" x14ac:dyDescent="0.25">
      <c r="A50" s="152" t="s">
        <v>106</v>
      </c>
      <c r="B50" s="22">
        <v>12.15</v>
      </c>
      <c r="C50" s="22">
        <v>0.14000000000000001</v>
      </c>
      <c r="D50" s="22">
        <v>0.22</v>
      </c>
      <c r="E50" s="22"/>
      <c r="F50" s="22"/>
      <c r="G50" s="22"/>
      <c r="H50" s="22"/>
      <c r="I50" s="22"/>
      <c r="J50" s="22"/>
      <c r="K50" s="22"/>
      <c r="L50" s="22">
        <v>5.04</v>
      </c>
      <c r="M50" s="22"/>
      <c r="N50" s="22"/>
      <c r="O50" s="22"/>
      <c r="P50" s="22"/>
      <c r="Q50" s="22"/>
      <c r="R50" s="22"/>
      <c r="S50" s="22"/>
      <c r="T50" s="151">
        <v>5.39</v>
      </c>
      <c r="U50" s="22"/>
      <c r="V50" s="151"/>
      <c r="W50" s="22"/>
      <c r="X50" s="22"/>
      <c r="Y50" s="22"/>
      <c r="Z50" s="22"/>
      <c r="AA50" s="22">
        <f t="shared" si="13"/>
        <v>1.3600000000000012</v>
      </c>
      <c r="AB50" s="153">
        <f t="shared" si="14"/>
        <v>0.11193415637860092</v>
      </c>
      <c r="AC50" s="153">
        <f t="shared" si="16"/>
        <v>3.9632352941176432</v>
      </c>
      <c r="AD50" s="153">
        <f t="shared" si="17"/>
        <v>0</v>
      </c>
      <c r="AE50" s="153">
        <f t="shared" si="18"/>
        <v>3.9632352941176432</v>
      </c>
      <c r="AF50" s="153">
        <v>3.9699999999999999E-2</v>
      </c>
      <c r="AG50" s="153">
        <f t="shared" si="19"/>
        <v>-3.9699999999999999E-2</v>
      </c>
      <c r="AH50" s="22">
        <f t="shared" si="15"/>
        <v>-5.3992000000000047E-2</v>
      </c>
      <c r="AI50" s="169"/>
      <c r="AJ50" s="184"/>
      <c r="AK50" s="196" t="s">
        <v>718</v>
      </c>
      <c r="AL50" s="196"/>
    </row>
    <row r="51" spans="1:38" s="90" customFormat="1" ht="45" x14ac:dyDescent="0.25">
      <c r="A51" s="150" t="s">
        <v>693</v>
      </c>
      <c r="B51" s="21">
        <f>15.44+2.03</f>
        <v>17.47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151">
        <v>9.51</v>
      </c>
      <c r="W51" s="21"/>
      <c r="X51" s="21"/>
      <c r="Y51" s="21"/>
      <c r="Z51" s="21"/>
      <c r="AA51" s="21">
        <f t="shared" si="13"/>
        <v>7.9599999999999991</v>
      </c>
      <c r="AB51" s="114">
        <f t="shared" si="14"/>
        <v>0.45563823697767597</v>
      </c>
      <c r="AC51" s="133">
        <f t="shared" si="16"/>
        <v>0</v>
      </c>
      <c r="AD51" s="133">
        <f t="shared" si="17"/>
        <v>0</v>
      </c>
      <c r="AE51" s="133">
        <f t="shared" si="18"/>
        <v>0</v>
      </c>
      <c r="AF51" s="133">
        <v>3.9699999999999999E-2</v>
      </c>
      <c r="AG51" s="133">
        <f t="shared" si="19"/>
        <v>-3.9699999999999999E-2</v>
      </c>
      <c r="AH51" s="35">
        <f t="shared" si="15"/>
        <v>-0.31601199999999996</v>
      </c>
      <c r="AI51" s="169"/>
      <c r="AJ51" s="15"/>
      <c r="AK51" s="196" t="s">
        <v>919</v>
      </c>
      <c r="AL51" s="196"/>
    </row>
    <row r="52" spans="1:38" s="154" customFormat="1" x14ac:dyDescent="0.25">
      <c r="A52" s="152" t="s">
        <v>107</v>
      </c>
      <c r="B52" s="22">
        <v>16.3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>
        <v>0.42</v>
      </c>
      <c r="W52" s="22"/>
      <c r="X52" s="22"/>
      <c r="Y52" s="22"/>
      <c r="Z52" s="22"/>
      <c r="AA52" s="22">
        <f t="shared" si="13"/>
        <v>15.88</v>
      </c>
      <c r="AB52" s="153">
        <f t="shared" si="14"/>
        <v>0.97423312883435587</v>
      </c>
      <c r="AC52" s="153">
        <f t="shared" si="16"/>
        <v>0</v>
      </c>
      <c r="AD52" s="153">
        <f t="shared" si="17"/>
        <v>0</v>
      </c>
      <c r="AE52" s="153">
        <f t="shared" si="18"/>
        <v>0</v>
      </c>
      <c r="AF52" s="153">
        <v>3.9699999999999999E-2</v>
      </c>
      <c r="AG52" s="153">
        <f t="shared" si="19"/>
        <v>-3.9699999999999999E-2</v>
      </c>
      <c r="AH52" s="22">
        <f t="shared" si="15"/>
        <v>-0.630436</v>
      </c>
      <c r="AI52" s="169"/>
      <c r="AJ52" s="184"/>
      <c r="AK52" s="207"/>
      <c r="AL52" s="207"/>
    </row>
    <row r="53" spans="1:38" s="95" customFormat="1" ht="22.5" x14ac:dyDescent="0.25">
      <c r="A53" s="211" t="s">
        <v>703</v>
      </c>
      <c r="B53" s="37">
        <f>12.3+2.87</f>
        <v>15.170000000000002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151">
        <v>4.38</v>
      </c>
      <c r="Q53" s="37"/>
      <c r="R53" s="37">
        <f>0.46+0.12</f>
        <v>0.58000000000000007</v>
      </c>
      <c r="S53" s="37"/>
      <c r="T53" s="37"/>
      <c r="U53" s="37"/>
      <c r="V53" s="37"/>
      <c r="W53" s="37"/>
      <c r="X53" s="37"/>
      <c r="Y53" s="37"/>
      <c r="Z53" s="37"/>
      <c r="AA53" s="37">
        <f t="shared" si="13"/>
        <v>10.210000000000001</v>
      </c>
      <c r="AB53" s="134">
        <f t="shared" si="14"/>
        <v>0.67303889255108762</v>
      </c>
      <c r="AC53" s="134">
        <f t="shared" si="16"/>
        <v>0</v>
      </c>
      <c r="AD53" s="134">
        <f t="shared" si="17"/>
        <v>0</v>
      </c>
      <c r="AE53" s="134">
        <f t="shared" si="18"/>
        <v>0</v>
      </c>
      <c r="AF53" s="134">
        <v>3.9699999999999999E-2</v>
      </c>
      <c r="AG53" s="134">
        <f t="shared" si="19"/>
        <v>-3.9699999999999999E-2</v>
      </c>
      <c r="AH53" s="37">
        <f t="shared" si="15"/>
        <v>-0.405337</v>
      </c>
      <c r="AI53" s="169"/>
      <c r="AJ53" s="16"/>
      <c r="AK53" s="208" t="s">
        <v>705</v>
      </c>
      <c r="AL53" s="208" t="s">
        <v>917</v>
      </c>
    </row>
    <row r="54" spans="1:38" s="154" customFormat="1" x14ac:dyDescent="0.25">
      <c r="A54" s="152" t="s">
        <v>108</v>
      </c>
      <c r="B54" s="22">
        <v>8.94</v>
      </c>
      <c r="C54" s="22"/>
      <c r="D54" s="22">
        <v>0.14000000000000001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151">
        <v>1.9</v>
      </c>
      <c r="Q54" s="22"/>
      <c r="R54" s="22"/>
      <c r="S54" s="22"/>
      <c r="T54" s="22">
        <v>0.73</v>
      </c>
      <c r="U54" s="22"/>
      <c r="V54" s="22"/>
      <c r="W54" s="22"/>
      <c r="X54" s="22"/>
      <c r="Y54" s="22"/>
      <c r="Z54" s="22"/>
      <c r="AA54" s="22">
        <f t="shared" si="13"/>
        <v>6.17</v>
      </c>
      <c r="AB54" s="153">
        <f t="shared" si="14"/>
        <v>0.69015659955257269</v>
      </c>
      <c r="AC54" s="153">
        <f t="shared" si="16"/>
        <v>0.11831442463533225</v>
      </c>
      <c r="AD54" s="153">
        <f t="shared" si="17"/>
        <v>0</v>
      </c>
      <c r="AE54" s="153">
        <f t="shared" si="18"/>
        <v>0.11831442463533225</v>
      </c>
      <c r="AF54" s="153">
        <v>3.9699999999999999E-2</v>
      </c>
      <c r="AG54" s="153">
        <f t="shared" si="19"/>
        <v>-3.9699999999999999E-2</v>
      </c>
      <c r="AH54" s="22">
        <f t="shared" si="15"/>
        <v>-0.244949</v>
      </c>
      <c r="AI54" s="169"/>
      <c r="AJ54" s="184"/>
      <c r="AK54" s="207"/>
      <c r="AL54" s="207" t="s">
        <v>881</v>
      </c>
    </row>
    <row r="55" spans="1:38" s="95" customFormat="1" x14ac:dyDescent="0.25">
      <c r="A55" s="167" t="s">
        <v>109</v>
      </c>
      <c r="B55" s="45">
        <v>3.91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278">
        <v>1.95</v>
      </c>
      <c r="Q55" s="45"/>
      <c r="R55" s="45"/>
      <c r="S55" s="45"/>
      <c r="T55" s="45">
        <v>1.86</v>
      </c>
      <c r="U55" s="45"/>
      <c r="V55" s="45"/>
      <c r="W55" s="45"/>
      <c r="X55" s="45"/>
      <c r="Y55" s="45"/>
      <c r="Z55" s="45"/>
      <c r="AA55" s="35">
        <f t="shared" si="13"/>
        <v>0.10000000000000009</v>
      </c>
      <c r="AB55" s="168">
        <f t="shared" si="14"/>
        <v>2.5575447570332501E-2</v>
      </c>
      <c r="AC55" s="133">
        <v>1.86</v>
      </c>
      <c r="AD55" s="168">
        <v>0</v>
      </c>
      <c r="AE55" s="168">
        <v>1.86</v>
      </c>
      <c r="AF55" s="168">
        <v>3.9699999999999999E-2</v>
      </c>
      <c r="AG55" s="168">
        <f t="shared" si="19"/>
        <v>-3.9699999999999999E-2</v>
      </c>
      <c r="AH55" s="45">
        <f t="shared" si="15"/>
        <v>-3.970000000000003E-3</v>
      </c>
      <c r="AI55" s="169"/>
      <c r="AJ55" s="16"/>
      <c r="AK55" s="208"/>
      <c r="AL55" s="208" t="s">
        <v>882</v>
      </c>
    </row>
    <row r="56" spans="1:38" s="154" customFormat="1" x14ac:dyDescent="0.25">
      <c r="A56" s="170" t="s">
        <v>110</v>
      </c>
      <c r="B56" s="43">
        <v>4.01</v>
      </c>
      <c r="C56" s="43"/>
      <c r="D56" s="43"/>
      <c r="E56" s="43"/>
      <c r="F56" s="43"/>
      <c r="G56" s="43"/>
      <c r="H56" s="43"/>
      <c r="I56" s="43"/>
      <c r="J56" s="43"/>
      <c r="K56" s="43"/>
      <c r="L56" s="43">
        <v>2.4700000000000002</v>
      </c>
      <c r="M56" s="43"/>
      <c r="N56" s="43"/>
      <c r="O56" s="43"/>
      <c r="P56" s="278">
        <v>1.33</v>
      </c>
      <c r="Q56" s="43"/>
      <c r="R56" s="43">
        <v>0.17</v>
      </c>
      <c r="S56" s="43"/>
      <c r="T56" s="43"/>
      <c r="U56" s="43"/>
      <c r="V56" s="43"/>
      <c r="W56" s="43"/>
      <c r="X56" s="43"/>
      <c r="Y56" s="43"/>
      <c r="Z56" s="43"/>
      <c r="AA56" s="43">
        <f t="shared" ref="AA56:AA87" si="20">B56-(SUM(C56:Z56))</f>
        <v>3.9999999999999591E-2</v>
      </c>
      <c r="AB56" s="171">
        <f t="shared" si="14"/>
        <v>9.97506234413955E-3</v>
      </c>
      <c r="AC56" s="171">
        <f t="shared" si="16"/>
        <v>0</v>
      </c>
      <c r="AD56" s="171">
        <f t="shared" si="17"/>
        <v>0</v>
      </c>
      <c r="AE56" s="171">
        <f t="shared" si="18"/>
        <v>0</v>
      </c>
      <c r="AF56" s="171">
        <v>3.9699999999999999E-2</v>
      </c>
      <c r="AG56" s="171">
        <f t="shared" si="19"/>
        <v>-3.9699999999999999E-2</v>
      </c>
      <c r="AH56" s="45">
        <f t="shared" si="15"/>
        <v>-1.5879999999999837E-3</v>
      </c>
      <c r="AI56" s="169"/>
      <c r="AJ56" s="184"/>
      <c r="AK56" s="207"/>
      <c r="AL56" s="207" t="s">
        <v>883</v>
      </c>
    </row>
    <row r="57" spans="1:38" s="95" customFormat="1" ht="22.5" x14ac:dyDescent="0.25">
      <c r="A57" s="167" t="s">
        <v>111</v>
      </c>
      <c r="B57" s="45">
        <v>8.0500000000000007</v>
      </c>
      <c r="C57" s="45"/>
      <c r="D57" s="45">
        <v>0.1</v>
      </c>
      <c r="E57" s="45"/>
      <c r="F57" s="45"/>
      <c r="G57" s="278">
        <v>1</v>
      </c>
      <c r="H57" s="45"/>
      <c r="I57" s="45"/>
      <c r="J57" s="45"/>
      <c r="K57" s="45"/>
      <c r="L57" s="278">
        <v>1.03</v>
      </c>
      <c r="M57" s="45"/>
      <c r="N57" s="45"/>
      <c r="O57" s="45"/>
      <c r="P57" s="45">
        <v>0.68</v>
      </c>
      <c r="Q57" s="45"/>
      <c r="R57" s="45"/>
      <c r="S57" s="45"/>
      <c r="T57" s="45">
        <v>1.97</v>
      </c>
      <c r="U57" s="45"/>
      <c r="V57" s="45"/>
      <c r="W57" s="45"/>
      <c r="X57" s="45"/>
      <c r="Y57" s="45"/>
      <c r="Z57" s="45"/>
      <c r="AA57" s="45">
        <f t="shared" si="20"/>
        <v>3.2700000000000005</v>
      </c>
      <c r="AB57" s="168">
        <f t="shared" si="14"/>
        <v>0.40621118012422364</v>
      </c>
      <c r="AC57" s="168">
        <f t="shared" si="16"/>
        <v>0.60244648318042804</v>
      </c>
      <c r="AD57" s="168">
        <f t="shared" si="17"/>
        <v>0</v>
      </c>
      <c r="AE57" s="168">
        <f t="shared" si="18"/>
        <v>0.60244648318042804</v>
      </c>
      <c r="AF57" s="168">
        <v>3.9699999999999999E-2</v>
      </c>
      <c r="AG57" s="168">
        <f t="shared" si="19"/>
        <v>-3.9699999999999999E-2</v>
      </c>
      <c r="AH57" s="45">
        <f t="shared" si="15"/>
        <v>-0.12981900000000002</v>
      </c>
      <c r="AI57" s="169"/>
      <c r="AJ57" s="16"/>
      <c r="AK57" s="208" t="s">
        <v>719</v>
      </c>
      <c r="AL57" s="208"/>
    </row>
    <row r="58" spans="1:38" s="154" customFormat="1" x14ac:dyDescent="0.25">
      <c r="A58" s="170" t="s">
        <v>112</v>
      </c>
      <c r="B58" s="43">
        <v>3.04</v>
      </c>
      <c r="C58" s="43">
        <v>0.08</v>
      </c>
      <c r="D58" s="43">
        <v>0.1</v>
      </c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>
        <f t="shared" si="20"/>
        <v>2.86</v>
      </c>
      <c r="AB58" s="171">
        <f t="shared" si="14"/>
        <v>0.94078947368421051</v>
      </c>
      <c r="AC58" s="171">
        <f t="shared" si="16"/>
        <v>0</v>
      </c>
      <c r="AD58" s="171">
        <f t="shared" si="17"/>
        <v>0</v>
      </c>
      <c r="AE58" s="171">
        <f t="shared" si="18"/>
        <v>0</v>
      </c>
      <c r="AF58" s="171">
        <v>3.9699999999999999E-2</v>
      </c>
      <c r="AG58" s="171">
        <f t="shared" si="19"/>
        <v>-3.9699999999999999E-2</v>
      </c>
      <c r="AH58" s="43">
        <f t="shared" si="15"/>
        <v>-0.11354199999999999</v>
      </c>
      <c r="AI58" s="169"/>
      <c r="AJ58" s="184"/>
      <c r="AK58" s="207"/>
      <c r="AL58" s="207"/>
    </row>
    <row r="59" spans="1:38" s="95" customFormat="1" x14ac:dyDescent="0.25">
      <c r="A59" s="167" t="s">
        <v>113</v>
      </c>
      <c r="B59" s="45">
        <v>11.77</v>
      </c>
      <c r="C59" s="45">
        <v>0.28000000000000003</v>
      </c>
      <c r="D59" s="45"/>
      <c r="E59" s="45"/>
      <c r="F59" s="45"/>
      <c r="G59" s="45">
        <v>0.43</v>
      </c>
      <c r="H59" s="45"/>
      <c r="I59" s="45"/>
      <c r="J59" s="45"/>
      <c r="K59" s="45"/>
      <c r="L59" s="45">
        <v>0.43</v>
      </c>
      <c r="M59" s="45"/>
      <c r="N59" s="45"/>
      <c r="O59" s="45"/>
      <c r="P59" s="45"/>
      <c r="Q59" s="45"/>
      <c r="R59" s="45"/>
      <c r="S59" s="45"/>
      <c r="T59" s="45">
        <v>0.28999999999999998</v>
      </c>
      <c r="U59" s="45"/>
      <c r="V59" s="278"/>
      <c r="W59" s="45"/>
      <c r="X59" s="45"/>
      <c r="Y59" s="45"/>
      <c r="Z59" s="45"/>
      <c r="AA59" s="45">
        <f t="shared" si="20"/>
        <v>10.34</v>
      </c>
      <c r="AB59" s="168">
        <f t="shared" si="14"/>
        <v>0.87850467289719625</v>
      </c>
      <c r="AC59" s="168">
        <f t="shared" si="16"/>
        <v>2.8046421663442938E-2</v>
      </c>
      <c r="AD59" s="168">
        <f t="shared" si="17"/>
        <v>0</v>
      </c>
      <c r="AE59" s="168">
        <f t="shared" si="18"/>
        <v>2.8046421663442938E-2</v>
      </c>
      <c r="AF59" s="168">
        <v>3.9699999999999999E-2</v>
      </c>
      <c r="AG59" s="168">
        <f t="shared" si="19"/>
        <v>-3.9699999999999999E-2</v>
      </c>
      <c r="AH59" s="45">
        <f t="shared" si="15"/>
        <v>-0.41049799999999997</v>
      </c>
      <c r="AI59" s="169"/>
      <c r="AJ59" s="16"/>
      <c r="AK59" s="208" t="s">
        <v>921</v>
      </c>
      <c r="AL59" s="208"/>
    </row>
    <row r="60" spans="1:38" s="154" customFormat="1" x14ac:dyDescent="0.25">
      <c r="A60" s="170" t="s">
        <v>114</v>
      </c>
      <c r="B60" s="43">
        <v>12.18</v>
      </c>
      <c r="C60" s="43">
        <v>0.46</v>
      </c>
      <c r="D60" s="43">
        <v>0.61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278"/>
      <c r="W60" s="43"/>
      <c r="X60" s="43"/>
      <c r="Y60" s="43"/>
      <c r="Z60" s="43"/>
      <c r="AA60" s="43">
        <f t="shared" si="20"/>
        <v>11.11</v>
      </c>
      <c r="AB60" s="171">
        <f t="shared" si="14"/>
        <v>0.91215106732348106</v>
      </c>
      <c r="AC60" s="171">
        <f t="shared" si="16"/>
        <v>0</v>
      </c>
      <c r="AD60" s="171">
        <f t="shared" si="17"/>
        <v>0</v>
      </c>
      <c r="AE60" s="171">
        <f t="shared" si="18"/>
        <v>0</v>
      </c>
      <c r="AF60" s="171">
        <v>3.9699999999999999E-2</v>
      </c>
      <c r="AG60" s="171">
        <f t="shared" si="19"/>
        <v>-3.9699999999999999E-2</v>
      </c>
      <c r="AH60" s="43">
        <f t="shared" si="15"/>
        <v>-0.44106699999999999</v>
      </c>
      <c r="AI60" s="169"/>
      <c r="AJ60" s="184"/>
      <c r="AK60" s="207" t="s">
        <v>922</v>
      </c>
      <c r="AL60" s="207"/>
    </row>
    <row r="61" spans="1:38" s="95" customFormat="1" x14ac:dyDescent="0.25">
      <c r="A61" s="167" t="s">
        <v>115</v>
      </c>
      <c r="B61" s="45">
        <v>17.29</v>
      </c>
      <c r="C61" s="45"/>
      <c r="D61" s="45"/>
      <c r="E61" s="45"/>
      <c r="F61" s="45"/>
      <c r="G61" s="45">
        <v>0.37</v>
      </c>
      <c r="H61" s="45"/>
      <c r="I61" s="45"/>
      <c r="J61" s="45"/>
      <c r="K61" s="45"/>
      <c r="L61" s="45">
        <v>3.07</v>
      </c>
      <c r="M61" s="45"/>
      <c r="N61" s="45"/>
      <c r="O61" s="45"/>
      <c r="P61" s="45"/>
      <c r="Q61" s="45"/>
      <c r="R61" s="45"/>
      <c r="S61" s="45"/>
      <c r="T61" s="45">
        <v>1.08</v>
      </c>
      <c r="U61" s="45">
        <v>1.59</v>
      </c>
      <c r="V61" s="45"/>
      <c r="W61" s="45"/>
      <c r="X61" s="45"/>
      <c r="Y61" s="45"/>
      <c r="Z61" s="45"/>
      <c r="AA61" s="45">
        <f t="shared" si="20"/>
        <v>11.18</v>
      </c>
      <c r="AB61" s="168">
        <f t="shared" si="14"/>
        <v>0.64661654135338342</v>
      </c>
      <c r="AC61" s="168">
        <f t="shared" si="16"/>
        <v>9.66010733452594E-2</v>
      </c>
      <c r="AD61" s="168">
        <f t="shared" si="17"/>
        <v>0.14221824686940968</v>
      </c>
      <c r="AE61" s="168">
        <f t="shared" si="18"/>
        <v>0.23881932021466906</v>
      </c>
      <c r="AF61" s="168">
        <v>3.9699999999999999E-2</v>
      </c>
      <c r="AG61" s="168">
        <f t="shared" si="19"/>
        <v>0.10251824686940968</v>
      </c>
      <c r="AH61" s="45">
        <f t="shared" si="15"/>
        <v>1.1461540000000001</v>
      </c>
      <c r="AI61" s="169"/>
      <c r="AJ61" s="16"/>
      <c r="AK61" s="208"/>
      <c r="AL61" s="208"/>
    </row>
    <row r="62" spans="1:38" s="154" customFormat="1" x14ac:dyDescent="0.25">
      <c r="A62" s="170" t="s">
        <v>116</v>
      </c>
      <c r="B62" s="43">
        <v>15.23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>
        <f t="shared" si="20"/>
        <v>15.23</v>
      </c>
      <c r="AB62" s="171">
        <f t="shared" si="14"/>
        <v>1</v>
      </c>
      <c r="AC62" s="171">
        <f t="shared" si="16"/>
        <v>0</v>
      </c>
      <c r="AD62" s="171">
        <f t="shared" si="17"/>
        <v>0</v>
      </c>
      <c r="AE62" s="171">
        <f t="shared" si="18"/>
        <v>0</v>
      </c>
      <c r="AF62" s="171">
        <v>3.9699999999999999E-2</v>
      </c>
      <c r="AG62" s="171">
        <f t="shared" si="19"/>
        <v>-3.9699999999999999E-2</v>
      </c>
      <c r="AH62" s="43">
        <f t="shared" si="15"/>
        <v>-0.60463100000000003</v>
      </c>
      <c r="AI62" s="169"/>
      <c r="AJ62" s="184"/>
      <c r="AK62" s="207"/>
      <c r="AL62" s="207"/>
    </row>
    <row r="63" spans="1:38" s="90" customFormat="1" x14ac:dyDescent="0.25">
      <c r="A63" s="172" t="s">
        <v>117</v>
      </c>
      <c r="B63" s="31">
        <v>2.0299999999999998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21">
        <f t="shared" si="20"/>
        <v>2.0299999999999998</v>
      </c>
      <c r="AB63" s="114">
        <f t="shared" ref="AB63:AB94" si="21">AA63/B63</f>
        <v>1</v>
      </c>
      <c r="AC63" s="133">
        <f t="shared" si="16"/>
        <v>0</v>
      </c>
      <c r="AD63" s="133">
        <f t="shared" si="17"/>
        <v>0</v>
      </c>
      <c r="AE63" s="133">
        <f t="shared" si="18"/>
        <v>0</v>
      </c>
      <c r="AF63" s="173">
        <v>3.9699999999999999E-2</v>
      </c>
      <c r="AG63" s="133">
        <f t="shared" si="19"/>
        <v>-3.9699999999999999E-2</v>
      </c>
      <c r="AH63" s="35">
        <f t="shared" si="15"/>
        <v>-8.0590999999999996E-2</v>
      </c>
      <c r="AI63" s="169"/>
      <c r="AJ63" s="15"/>
      <c r="AK63" s="196"/>
      <c r="AL63" s="196"/>
    </row>
    <row r="64" spans="1:38" s="154" customFormat="1" x14ac:dyDescent="0.25">
      <c r="A64" s="152" t="s">
        <v>118</v>
      </c>
      <c r="B64" s="22">
        <v>17.02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>
        <f t="shared" si="20"/>
        <v>17.02</v>
      </c>
      <c r="AB64" s="153">
        <f t="shared" si="21"/>
        <v>1</v>
      </c>
      <c r="AC64" s="153">
        <f t="shared" si="16"/>
        <v>0</v>
      </c>
      <c r="AD64" s="153">
        <f t="shared" si="17"/>
        <v>0</v>
      </c>
      <c r="AE64" s="153">
        <f t="shared" si="18"/>
        <v>0</v>
      </c>
      <c r="AF64" s="174">
        <v>3.9699999999999999E-2</v>
      </c>
      <c r="AG64" s="153">
        <f t="shared" si="19"/>
        <v>-3.9699999999999999E-2</v>
      </c>
      <c r="AH64" s="22">
        <f t="shared" si="15"/>
        <v>-0.67569400000000002</v>
      </c>
      <c r="AI64" s="169"/>
      <c r="AJ64" s="184"/>
      <c r="AK64" s="207"/>
      <c r="AL64" s="207"/>
    </row>
    <row r="65" spans="1:38" s="90" customFormat="1" ht="22.5" x14ac:dyDescent="0.25">
      <c r="A65" s="150" t="s">
        <v>702</v>
      </c>
      <c r="B65" s="21">
        <f>2.02+10.38</f>
        <v>12.4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>
        <v>0.36</v>
      </c>
      <c r="S65" s="21"/>
      <c r="T65" s="21"/>
      <c r="U65" s="21">
        <v>1</v>
      </c>
      <c r="V65" s="21"/>
      <c r="W65" s="21"/>
      <c r="X65" s="21"/>
      <c r="Y65" s="21"/>
      <c r="Z65" s="21"/>
      <c r="AA65" s="21">
        <f t="shared" si="20"/>
        <v>11.040000000000001</v>
      </c>
      <c r="AB65" s="114">
        <f t="shared" si="21"/>
        <v>0.89032258064516134</v>
      </c>
      <c r="AC65" s="133">
        <f t="shared" si="16"/>
        <v>0</v>
      </c>
      <c r="AD65" s="133">
        <f t="shared" si="17"/>
        <v>9.0579710144927522E-2</v>
      </c>
      <c r="AE65" s="133">
        <f t="shared" si="18"/>
        <v>9.0579710144927522E-2</v>
      </c>
      <c r="AF65" s="175">
        <v>3.9699999999999999E-2</v>
      </c>
      <c r="AG65" s="133">
        <f t="shared" si="19"/>
        <v>5.0879710144927523E-2</v>
      </c>
      <c r="AH65" s="35">
        <f t="shared" si="15"/>
        <v>0.56171199999999999</v>
      </c>
      <c r="AI65" s="169"/>
      <c r="AJ65" s="15"/>
      <c r="AK65" s="196" t="s">
        <v>706</v>
      </c>
      <c r="AL65" s="196"/>
    </row>
    <row r="66" spans="1:38" s="154" customFormat="1" x14ac:dyDescent="0.25">
      <c r="A66" s="152" t="s">
        <v>119</v>
      </c>
      <c r="B66" s="22">
        <v>10.31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>
        <v>0.16</v>
      </c>
      <c r="S66" s="22"/>
      <c r="T66" s="22"/>
      <c r="U66" s="22"/>
      <c r="V66" s="22"/>
      <c r="W66" s="22"/>
      <c r="X66" s="22"/>
      <c r="Y66" s="22"/>
      <c r="Z66" s="22"/>
      <c r="AA66" s="22">
        <f t="shared" si="20"/>
        <v>10.15</v>
      </c>
      <c r="AB66" s="153">
        <f t="shared" si="21"/>
        <v>0.98448108632395726</v>
      </c>
      <c r="AC66" s="153">
        <f t="shared" si="16"/>
        <v>0</v>
      </c>
      <c r="AD66" s="153">
        <f t="shared" si="17"/>
        <v>0</v>
      </c>
      <c r="AE66" s="153">
        <f t="shared" si="18"/>
        <v>0</v>
      </c>
      <c r="AF66" s="174">
        <v>3.9699999999999999E-2</v>
      </c>
      <c r="AG66" s="153">
        <f t="shared" si="19"/>
        <v>-3.9699999999999999E-2</v>
      </c>
      <c r="AH66" s="22">
        <f t="shared" si="15"/>
        <v>-0.40295500000000001</v>
      </c>
      <c r="AI66" s="169"/>
      <c r="AJ66" s="184"/>
      <c r="AK66" s="207"/>
      <c r="AL66" s="207"/>
    </row>
    <row r="67" spans="1:38" s="95" customFormat="1" x14ac:dyDescent="0.25">
      <c r="A67" s="211" t="s">
        <v>120</v>
      </c>
      <c r="B67" s="37">
        <v>2.02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>
        <v>0.01</v>
      </c>
      <c r="S67" s="37"/>
      <c r="T67" s="37"/>
      <c r="U67" s="37"/>
      <c r="V67" s="37"/>
      <c r="W67" s="37"/>
      <c r="X67" s="37"/>
      <c r="Y67" s="37"/>
      <c r="Z67" s="37"/>
      <c r="AA67" s="37">
        <f t="shared" si="20"/>
        <v>2.0100000000000002</v>
      </c>
      <c r="AB67" s="134">
        <f t="shared" si="21"/>
        <v>0.99504950495049516</v>
      </c>
      <c r="AC67" s="134">
        <f t="shared" si="16"/>
        <v>0</v>
      </c>
      <c r="AD67" s="134">
        <f t="shared" si="17"/>
        <v>0</v>
      </c>
      <c r="AE67" s="134">
        <f t="shared" si="18"/>
        <v>0</v>
      </c>
      <c r="AF67" s="212">
        <v>3.9699999999999999E-2</v>
      </c>
      <c r="AG67" s="134">
        <f t="shared" si="19"/>
        <v>-3.9699999999999999E-2</v>
      </c>
      <c r="AH67" s="37">
        <f t="shared" si="15"/>
        <v>-7.9797000000000007E-2</v>
      </c>
      <c r="AI67" s="169"/>
      <c r="AJ67" s="16"/>
      <c r="AK67" s="208"/>
      <c r="AL67" s="208"/>
    </row>
    <row r="68" spans="1:38" s="154" customFormat="1" x14ac:dyDescent="0.25">
      <c r="A68" s="152" t="s">
        <v>121</v>
      </c>
      <c r="B68" s="22">
        <v>4.26</v>
      </c>
      <c r="C68" s="22"/>
      <c r="D68" s="22">
        <v>0.06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>
        <f t="shared" si="20"/>
        <v>4.2</v>
      </c>
      <c r="AB68" s="153">
        <f t="shared" si="21"/>
        <v>0.98591549295774661</v>
      </c>
      <c r="AC68" s="153">
        <f t="shared" si="16"/>
        <v>0</v>
      </c>
      <c r="AD68" s="153">
        <f t="shared" si="17"/>
        <v>0</v>
      </c>
      <c r="AE68" s="153">
        <f t="shared" si="18"/>
        <v>0</v>
      </c>
      <c r="AF68" s="174">
        <v>3.9699999999999999E-2</v>
      </c>
      <c r="AG68" s="153">
        <f t="shared" si="19"/>
        <v>-3.9699999999999999E-2</v>
      </c>
      <c r="AH68" s="22">
        <f t="shared" si="15"/>
        <v>-0.16674</v>
      </c>
      <c r="AI68" s="169"/>
      <c r="AJ68" s="184"/>
      <c r="AK68" s="207"/>
      <c r="AL68" s="207"/>
    </row>
    <row r="69" spans="1:38" s="95" customFormat="1" x14ac:dyDescent="0.25">
      <c r="A69" s="211" t="s">
        <v>122</v>
      </c>
      <c r="B69" s="37">
        <v>7.94</v>
      </c>
      <c r="C69" s="37"/>
      <c r="D69" s="37">
        <v>0.09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>
        <f t="shared" si="20"/>
        <v>7.8500000000000005</v>
      </c>
      <c r="AB69" s="134">
        <f t="shared" si="21"/>
        <v>0.98866498740554154</v>
      </c>
      <c r="AC69" s="134">
        <f t="shared" si="16"/>
        <v>0</v>
      </c>
      <c r="AD69" s="134">
        <f t="shared" si="17"/>
        <v>0</v>
      </c>
      <c r="AE69" s="134">
        <f t="shared" si="18"/>
        <v>0</v>
      </c>
      <c r="AF69" s="212">
        <v>3.9699999999999999E-2</v>
      </c>
      <c r="AG69" s="134">
        <f t="shared" si="19"/>
        <v>-3.9699999999999999E-2</v>
      </c>
      <c r="AH69" s="37">
        <f t="shared" si="15"/>
        <v>-0.31164500000000001</v>
      </c>
      <c r="AI69" s="169"/>
      <c r="AJ69" s="16"/>
      <c r="AK69" s="208"/>
      <c r="AL69" s="208"/>
    </row>
    <row r="70" spans="1:38" s="154" customFormat="1" ht="22.5" x14ac:dyDescent="0.25">
      <c r="A70" s="152" t="s">
        <v>701</v>
      </c>
      <c r="B70" s="22">
        <f>11.49+2.33</f>
        <v>13.82</v>
      </c>
      <c r="C70" s="22"/>
      <c r="D70" s="22">
        <v>0.17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>
        <f t="shared" si="20"/>
        <v>13.65</v>
      </c>
      <c r="AB70" s="153">
        <f t="shared" si="21"/>
        <v>0.98769898697539793</v>
      </c>
      <c r="AC70" s="153">
        <f t="shared" si="16"/>
        <v>0</v>
      </c>
      <c r="AD70" s="153">
        <f t="shared" si="17"/>
        <v>0</v>
      </c>
      <c r="AE70" s="153">
        <f t="shared" si="18"/>
        <v>0</v>
      </c>
      <c r="AF70" s="174">
        <v>3.9699999999999999E-2</v>
      </c>
      <c r="AG70" s="153">
        <f t="shared" si="19"/>
        <v>-3.9699999999999999E-2</v>
      </c>
      <c r="AH70" s="22">
        <f t="shared" si="15"/>
        <v>-0.54190499999999997</v>
      </c>
      <c r="AI70" s="169"/>
      <c r="AJ70" s="184"/>
      <c r="AK70" s="207" t="s">
        <v>707</v>
      </c>
      <c r="AL70" s="207"/>
    </row>
    <row r="71" spans="1:38" s="90" customFormat="1" x14ac:dyDescent="0.25">
      <c r="A71" s="150" t="s">
        <v>123</v>
      </c>
      <c r="B71" s="21">
        <v>17.12</v>
      </c>
      <c r="C71" s="21"/>
      <c r="D71" s="21">
        <v>0.08</v>
      </c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>
        <v>0.04</v>
      </c>
      <c r="S71" s="21"/>
      <c r="T71" s="21">
        <v>2.69</v>
      </c>
      <c r="U71" s="21">
        <v>0.87</v>
      </c>
      <c r="V71" s="21"/>
      <c r="W71" s="21"/>
      <c r="X71" s="21"/>
      <c r="Y71" s="21"/>
      <c r="Z71" s="21"/>
      <c r="AA71" s="21">
        <f t="shared" si="20"/>
        <v>13.440000000000001</v>
      </c>
      <c r="AB71" s="114">
        <f t="shared" si="21"/>
        <v>0.78504672897196259</v>
      </c>
      <c r="AC71" s="133">
        <f t="shared" si="16"/>
        <v>0.20014880952380951</v>
      </c>
      <c r="AD71" s="133">
        <f t="shared" si="17"/>
        <v>6.4732142857142849E-2</v>
      </c>
      <c r="AE71" s="133">
        <f t="shared" si="18"/>
        <v>0.26488095238095238</v>
      </c>
      <c r="AF71" s="175">
        <v>3.9699999999999999E-2</v>
      </c>
      <c r="AG71" s="133">
        <f t="shared" si="19"/>
        <v>2.503214285714285E-2</v>
      </c>
      <c r="AH71" s="35">
        <f t="shared" si="15"/>
        <v>0.33643199999999995</v>
      </c>
      <c r="AI71" s="169"/>
      <c r="AJ71" s="15"/>
      <c r="AK71" s="196"/>
      <c r="AL71" s="196"/>
    </row>
    <row r="72" spans="1:38" s="154" customFormat="1" x14ac:dyDescent="0.25">
      <c r="A72" s="152" t="s">
        <v>124</v>
      </c>
      <c r="B72" s="22">
        <v>15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>
        <v>0.38</v>
      </c>
      <c r="S72" s="22"/>
      <c r="T72" s="22"/>
      <c r="U72" s="22"/>
      <c r="V72" s="22"/>
      <c r="W72" s="22"/>
      <c r="X72" s="22"/>
      <c r="Y72" s="22"/>
      <c r="Z72" s="22"/>
      <c r="AA72" s="22">
        <f t="shared" si="20"/>
        <v>14.62</v>
      </c>
      <c r="AB72" s="153">
        <f t="shared" si="21"/>
        <v>0.97466666666666657</v>
      </c>
      <c r="AC72" s="153">
        <f t="shared" si="16"/>
        <v>0</v>
      </c>
      <c r="AD72" s="153">
        <f t="shared" si="17"/>
        <v>0</v>
      </c>
      <c r="AE72" s="153">
        <f t="shared" si="18"/>
        <v>0</v>
      </c>
      <c r="AF72" s="174">
        <v>3.9699999999999999E-2</v>
      </c>
      <c r="AG72" s="153">
        <f t="shared" si="19"/>
        <v>-3.9699999999999999E-2</v>
      </c>
      <c r="AH72" s="22">
        <f t="shared" si="15"/>
        <v>-0.58041399999999999</v>
      </c>
      <c r="AI72" s="169"/>
      <c r="AJ72" s="184"/>
      <c r="AK72" s="207"/>
      <c r="AL72" s="207"/>
    </row>
    <row r="73" spans="1:38" s="90" customFormat="1" x14ac:dyDescent="0.25">
      <c r="A73" s="150" t="s">
        <v>125</v>
      </c>
      <c r="B73" s="21">
        <v>17.23</v>
      </c>
      <c r="C73" s="21">
        <v>0.59</v>
      </c>
      <c r="D73" s="21">
        <v>1.78</v>
      </c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>
        <v>0.05</v>
      </c>
      <c r="S73" s="21"/>
      <c r="T73" s="21">
        <v>0.28000000000000003</v>
      </c>
      <c r="U73" s="21">
        <v>0.38</v>
      </c>
      <c r="V73" s="21"/>
      <c r="W73" s="21"/>
      <c r="X73" s="21"/>
      <c r="Y73" s="21"/>
      <c r="Z73" s="21"/>
      <c r="AA73" s="21">
        <f t="shared" si="20"/>
        <v>14.15</v>
      </c>
      <c r="AB73" s="114">
        <f t="shared" si="21"/>
        <v>0.8212420197330238</v>
      </c>
      <c r="AC73" s="133">
        <f t="shared" si="16"/>
        <v>1.9787985865724382E-2</v>
      </c>
      <c r="AD73" s="133">
        <f t="shared" si="17"/>
        <v>2.6855123674911659E-2</v>
      </c>
      <c r="AE73" s="133">
        <f t="shared" si="18"/>
        <v>4.6643109540636045E-2</v>
      </c>
      <c r="AF73" s="175">
        <v>3.9699999999999999E-2</v>
      </c>
      <c r="AG73" s="133">
        <f t="shared" si="19"/>
        <v>-1.284487632508834E-2</v>
      </c>
      <c r="AH73" s="35">
        <f t="shared" si="15"/>
        <v>-0.181755</v>
      </c>
      <c r="AI73" s="169"/>
      <c r="AJ73" s="15"/>
      <c r="AK73" s="196"/>
      <c r="AL73" s="196"/>
    </row>
    <row r="74" spans="1:38" s="154" customFormat="1" ht="22.5" x14ac:dyDescent="0.25">
      <c r="A74" s="152" t="s">
        <v>126</v>
      </c>
      <c r="B74" s="22">
        <v>14.92</v>
      </c>
      <c r="C74" s="22">
        <v>1.42</v>
      </c>
      <c r="D74" s="22">
        <v>0.66</v>
      </c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>
        <v>4.96</v>
      </c>
      <c r="S74" s="22"/>
      <c r="T74" s="22"/>
      <c r="U74" s="22"/>
      <c r="V74" s="22"/>
      <c r="W74" s="22"/>
      <c r="X74" s="22"/>
      <c r="Y74" s="22"/>
      <c r="Z74" s="22"/>
      <c r="AA74" s="22">
        <f t="shared" si="20"/>
        <v>7.88</v>
      </c>
      <c r="AB74" s="153">
        <f t="shared" si="21"/>
        <v>0.52815013404825739</v>
      </c>
      <c r="AC74" s="153">
        <f t="shared" si="16"/>
        <v>0</v>
      </c>
      <c r="AD74" s="153">
        <f t="shared" si="17"/>
        <v>0</v>
      </c>
      <c r="AE74" s="153">
        <f t="shared" si="18"/>
        <v>0</v>
      </c>
      <c r="AF74" s="174">
        <v>3.9699999999999999E-2</v>
      </c>
      <c r="AG74" s="153">
        <f t="shared" si="19"/>
        <v>-3.9699999999999999E-2</v>
      </c>
      <c r="AH74" s="22">
        <f t="shared" si="15"/>
        <v>-0.312836</v>
      </c>
      <c r="AI74" s="169"/>
      <c r="AJ74" s="184"/>
      <c r="AK74" s="207"/>
      <c r="AL74" s="207" t="s">
        <v>886</v>
      </c>
    </row>
    <row r="75" spans="1:38" s="90" customFormat="1" x14ac:dyDescent="0.25">
      <c r="A75" s="150" t="s">
        <v>127</v>
      </c>
      <c r="B75" s="21">
        <v>14.72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151">
        <v>2.33</v>
      </c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>
        <f t="shared" si="20"/>
        <v>12.39</v>
      </c>
      <c r="AB75" s="114">
        <f t="shared" si="21"/>
        <v>0.84171195652173914</v>
      </c>
      <c r="AC75" s="133">
        <f t="shared" si="16"/>
        <v>0</v>
      </c>
      <c r="AD75" s="133">
        <f t="shared" si="17"/>
        <v>0</v>
      </c>
      <c r="AE75" s="133">
        <f t="shared" si="18"/>
        <v>0</v>
      </c>
      <c r="AF75" s="175">
        <v>3.9699999999999999E-2</v>
      </c>
      <c r="AG75" s="133">
        <f t="shared" si="19"/>
        <v>-3.9699999999999999E-2</v>
      </c>
      <c r="AH75" s="35">
        <f t="shared" si="15"/>
        <v>-0.49188300000000001</v>
      </c>
      <c r="AI75" s="169"/>
      <c r="AJ75" s="15"/>
      <c r="AK75" s="196"/>
      <c r="AL75" s="196" t="s">
        <v>884</v>
      </c>
    </row>
    <row r="76" spans="1:38" s="154" customFormat="1" x14ac:dyDescent="0.25">
      <c r="A76" s="152" t="s">
        <v>128</v>
      </c>
      <c r="B76" s="22">
        <v>1.33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>
        <f t="shared" si="20"/>
        <v>1.33</v>
      </c>
      <c r="AB76" s="153">
        <f t="shared" si="21"/>
        <v>1</v>
      </c>
      <c r="AC76" s="153">
        <f t="shared" si="16"/>
        <v>0</v>
      </c>
      <c r="AD76" s="153">
        <f t="shared" si="17"/>
        <v>0</v>
      </c>
      <c r="AE76" s="153">
        <f t="shared" si="18"/>
        <v>0</v>
      </c>
      <c r="AF76" s="174">
        <v>3.9699999999999999E-2</v>
      </c>
      <c r="AG76" s="153">
        <f t="shared" si="19"/>
        <v>-3.9699999999999999E-2</v>
      </c>
      <c r="AH76" s="22">
        <f t="shared" si="15"/>
        <v>-5.2801000000000001E-2</v>
      </c>
      <c r="AI76" s="169"/>
      <c r="AJ76" s="184"/>
      <c r="AK76" s="207"/>
      <c r="AL76" s="207"/>
    </row>
    <row r="77" spans="1:38" s="90" customFormat="1" x14ac:dyDescent="0.25">
      <c r="A77" s="150" t="s">
        <v>129</v>
      </c>
      <c r="B77" s="21">
        <v>1.29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>
        <v>0.15</v>
      </c>
      <c r="S77" s="21"/>
      <c r="T77" s="21"/>
      <c r="U77" s="21"/>
      <c r="V77" s="21"/>
      <c r="W77" s="21"/>
      <c r="X77" s="21"/>
      <c r="Y77" s="21"/>
      <c r="Z77" s="21"/>
      <c r="AA77" s="21">
        <f t="shared" si="20"/>
        <v>1.1400000000000001</v>
      </c>
      <c r="AB77" s="114">
        <f t="shared" si="21"/>
        <v>0.88372093023255827</v>
      </c>
      <c r="AC77" s="133">
        <f t="shared" si="16"/>
        <v>0</v>
      </c>
      <c r="AD77" s="133">
        <f t="shared" si="17"/>
        <v>0</v>
      </c>
      <c r="AE77" s="133">
        <f t="shared" si="18"/>
        <v>0</v>
      </c>
      <c r="AF77" s="175">
        <v>3.9699999999999999E-2</v>
      </c>
      <c r="AG77" s="133">
        <f t="shared" si="19"/>
        <v>-3.9699999999999999E-2</v>
      </c>
      <c r="AH77" s="35">
        <f t="shared" si="15"/>
        <v>-4.5258000000000007E-2</v>
      </c>
      <c r="AI77" s="169"/>
      <c r="AJ77" s="15"/>
      <c r="AK77" s="196"/>
      <c r="AL77" s="196"/>
    </row>
    <row r="78" spans="1:38" s="154" customFormat="1" ht="33.75" x14ac:dyDescent="0.25">
      <c r="A78" s="152" t="s">
        <v>130</v>
      </c>
      <c r="B78" s="22">
        <v>15.01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151">
        <v>0.28000000000000003</v>
      </c>
      <c r="Q78" s="22"/>
      <c r="R78" s="22">
        <v>7.08</v>
      </c>
      <c r="S78" s="22"/>
      <c r="T78" s="22"/>
      <c r="U78" s="22"/>
      <c r="V78" s="22"/>
      <c r="W78" s="22"/>
      <c r="X78" s="22"/>
      <c r="Y78" s="22"/>
      <c r="Z78" s="22"/>
      <c r="AA78" s="22">
        <f t="shared" si="20"/>
        <v>7.6499999999999995</v>
      </c>
      <c r="AB78" s="153">
        <f t="shared" si="21"/>
        <v>0.50966022651565623</v>
      </c>
      <c r="AC78" s="153">
        <f t="shared" si="16"/>
        <v>0</v>
      </c>
      <c r="AD78" s="153">
        <f t="shared" si="17"/>
        <v>0</v>
      </c>
      <c r="AE78" s="153">
        <f t="shared" si="18"/>
        <v>0</v>
      </c>
      <c r="AF78" s="174">
        <v>3.9699999999999999E-2</v>
      </c>
      <c r="AG78" s="153">
        <f t="shared" si="19"/>
        <v>-3.9699999999999999E-2</v>
      </c>
      <c r="AH78" s="22">
        <f t="shared" si="15"/>
        <v>-0.30370499999999995</v>
      </c>
      <c r="AI78" s="169"/>
      <c r="AJ78" s="184"/>
      <c r="AK78" s="207"/>
      <c r="AL78" s="207" t="s">
        <v>885</v>
      </c>
    </row>
    <row r="79" spans="1:38" s="90" customFormat="1" x14ac:dyDescent="0.25">
      <c r="A79" s="150" t="s">
        <v>131</v>
      </c>
      <c r="B79" s="21">
        <v>2.0699999999999998</v>
      </c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>
        <f t="shared" si="20"/>
        <v>2.0699999999999998</v>
      </c>
      <c r="AB79" s="114">
        <f t="shared" si="21"/>
        <v>1</v>
      </c>
      <c r="AC79" s="133">
        <f t="shared" si="16"/>
        <v>0</v>
      </c>
      <c r="AD79" s="133">
        <f t="shared" si="17"/>
        <v>0</v>
      </c>
      <c r="AE79" s="133">
        <f t="shared" si="18"/>
        <v>0</v>
      </c>
      <c r="AF79" s="175">
        <v>3.9699999999999999E-2</v>
      </c>
      <c r="AG79" s="133">
        <f t="shared" si="19"/>
        <v>-3.9699999999999999E-2</v>
      </c>
      <c r="AH79" s="35">
        <f t="shared" si="15"/>
        <v>-8.2178999999999988E-2</v>
      </c>
      <c r="AI79" s="169"/>
      <c r="AJ79" s="15"/>
      <c r="AK79" s="196"/>
      <c r="AL79" s="196"/>
    </row>
    <row r="80" spans="1:38" s="90" customFormat="1" x14ac:dyDescent="0.25">
      <c r="A80" s="152" t="s">
        <v>132</v>
      </c>
      <c r="B80" s="22">
        <v>13.61</v>
      </c>
      <c r="C80" s="22">
        <v>0.31</v>
      </c>
      <c r="D80" s="22">
        <v>0.31</v>
      </c>
      <c r="E80" s="22"/>
      <c r="F80" s="22">
        <v>0.4</v>
      </c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>
        <v>0.33</v>
      </c>
      <c r="V80" s="22"/>
      <c r="W80" s="22"/>
      <c r="X80" s="22"/>
      <c r="Y80" s="22"/>
      <c r="Z80" s="22"/>
      <c r="AA80" s="22">
        <f t="shared" si="20"/>
        <v>12.26</v>
      </c>
      <c r="AB80" s="122">
        <f t="shared" si="21"/>
        <v>0.90080822924320358</v>
      </c>
      <c r="AC80" s="153">
        <f t="shared" si="16"/>
        <v>0</v>
      </c>
      <c r="AD80" s="153">
        <f t="shared" si="17"/>
        <v>2.6916802610114195E-2</v>
      </c>
      <c r="AE80" s="153">
        <f t="shared" si="18"/>
        <v>2.6916802610114195E-2</v>
      </c>
      <c r="AF80" s="174">
        <v>3.9699999999999999E-2</v>
      </c>
      <c r="AG80" s="153">
        <f t="shared" si="19"/>
        <v>-1.2783197389885804E-2</v>
      </c>
      <c r="AH80" s="22">
        <f t="shared" si="15"/>
        <v>-0.15672199999999997</v>
      </c>
      <c r="AI80" s="169"/>
      <c r="AJ80" s="184" t="s">
        <v>495</v>
      </c>
      <c r="AK80" s="207"/>
      <c r="AL80" s="207"/>
    </row>
    <row r="81" spans="1:38" s="90" customFormat="1" ht="22.5" x14ac:dyDescent="0.25">
      <c r="A81" s="150" t="s">
        <v>700</v>
      </c>
      <c r="B81" s="21">
        <f>4.06+12.75</f>
        <v>16.809999999999999</v>
      </c>
      <c r="C81" s="21">
        <v>0.28999999999999998</v>
      </c>
      <c r="D81" s="21">
        <v>0.18</v>
      </c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>
        <v>0.64</v>
      </c>
      <c r="V81" s="21"/>
      <c r="W81" s="21"/>
      <c r="X81" s="21"/>
      <c r="Y81" s="21"/>
      <c r="Z81" s="21"/>
      <c r="AA81" s="21">
        <f t="shared" si="20"/>
        <v>15.7</v>
      </c>
      <c r="AB81" s="114">
        <f t="shared" si="21"/>
        <v>0.93396787626412847</v>
      </c>
      <c r="AC81" s="133">
        <f t="shared" si="16"/>
        <v>0</v>
      </c>
      <c r="AD81" s="133">
        <f t="shared" si="17"/>
        <v>4.0764331210191088E-2</v>
      </c>
      <c r="AE81" s="133">
        <f t="shared" si="18"/>
        <v>4.0764331210191088E-2</v>
      </c>
      <c r="AF81" s="175">
        <v>3.9699999999999999E-2</v>
      </c>
      <c r="AG81" s="133">
        <f t="shared" si="19"/>
        <v>1.0643312101910885E-3</v>
      </c>
      <c r="AH81" s="35">
        <f t="shared" si="15"/>
        <v>1.6710000000000003E-2</v>
      </c>
      <c r="AI81" s="169"/>
      <c r="AJ81" s="15"/>
      <c r="AK81" s="196" t="s">
        <v>708</v>
      </c>
      <c r="AL81" s="196"/>
    </row>
    <row r="82" spans="1:38" s="154" customFormat="1" x14ac:dyDescent="0.25">
      <c r="A82" s="152" t="s">
        <v>133</v>
      </c>
      <c r="B82" s="22">
        <v>16.84</v>
      </c>
      <c r="C82" s="22">
        <v>0.01</v>
      </c>
      <c r="D82" s="22">
        <v>0.72</v>
      </c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>
        <f t="shared" si="20"/>
        <v>16.11</v>
      </c>
      <c r="AB82" s="153">
        <f t="shared" si="21"/>
        <v>0.95665083135391926</v>
      </c>
      <c r="AC82" s="153">
        <f t="shared" si="16"/>
        <v>0</v>
      </c>
      <c r="AD82" s="153">
        <f t="shared" si="17"/>
        <v>0</v>
      </c>
      <c r="AE82" s="153">
        <f t="shared" si="18"/>
        <v>0</v>
      </c>
      <c r="AF82" s="174">
        <v>3.9699999999999999E-2</v>
      </c>
      <c r="AG82" s="153">
        <f t="shared" si="19"/>
        <v>-3.9699999999999999E-2</v>
      </c>
      <c r="AH82" s="22">
        <f t="shared" si="15"/>
        <v>-0.639567</v>
      </c>
      <c r="AI82" s="169"/>
      <c r="AJ82" s="184"/>
      <c r="AK82" s="207"/>
      <c r="AL82" s="207"/>
    </row>
    <row r="83" spans="1:38" s="95" customFormat="1" x14ac:dyDescent="0.25">
      <c r="A83" s="211" t="s">
        <v>134</v>
      </c>
      <c r="B83" s="37">
        <v>18.53</v>
      </c>
      <c r="C83" s="37">
        <v>0.31</v>
      </c>
      <c r="D83" s="37">
        <v>0.17</v>
      </c>
      <c r="E83" s="37"/>
      <c r="F83" s="37"/>
      <c r="G83" s="37"/>
      <c r="H83" s="37"/>
      <c r="I83" s="37"/>
      <c r="J83" s="37"/>
      <c r="K83" s="37"/>
      <c r="L83" s="37">
        <v>5.86</v>
      </c>
      <c r="M83" s="37"/>
      <c r="N83" s="37"/>
      <c r="O83" s="37"/>
      <c r="P83" s="37"/>
      <c r="Q83" s="37"/>
      <c r="R83" s="37">
        <v>0.53</v>
      </c>
      <c r="S83" s="37"/>
      <c r="T83" s="37"/>
      <c r="U83" s="37"/>
      <c r="V83" s="37"/>
      <c r="W83" s="37"/>
      <c r="X83" s="37"/>
      <c r="Y83" s="37"/>
      <c r="Z83" s="37"/>
      <c r="AA83" s="37">
        <f t="shared" si="20"/>
        <v>11.66</v>
      </c>
      <c r="AB83" s="134">
        <f t="shared" si="21"/>
        <v>0.62924986508364811</v>
      </c>
      <c r="AC83" s="134">
        <f t="shared" si="16"/>
        <v>0</v>
      </c>
      <c r="AD83" s="134">
        <f t="shared" si="17"/>
        <v>0</v>
      </c>
      <c r="AE83" s="134">
        <f t="shared" si="18"/>
        <v>0</v>
      </c>
      <c r="AF83" s="212">
        <v>3.9699999999999999E-2</v>
      </c>
      <c r="AG83" s="134">
        <f t="shared" si="19"/>
        <v>-3.9699999999999999E-2</v>
      </c>
      <c r="AH83" s="37">
        <f t="shared" si="15"/>
        <v>-0.46290199999999998</v>
      </c>
      <c r="AI83" s="169"/>
      <c r="AJ83" s="16"/>
      <c r="AK83" s="208"/>
      <c r="AL83" s="208"/>
    </row>
    <row r="84" spans="1:38" s="90" customFormat="1" x14ac:dyDescent="0.25">
      <c r="A84" s="152" t="s">
        <v>135</v>
      </c>
      <c r="B84" s="22">
        <v>24.55</v>
      </c>
      <c r="C84" s="22"/>
      <c r="D84" s="22"/>
      <c r="E84" s="22"/>
      <c r="F84" s="22">
        <v>1.95</v>
      </c>
      <c r="G84" s="22"/>
      <c r="H84" s="22"/>
      <c r="I84" s="22"/>
      <c r="J84" s="22"/>
      <c r="K84" s="22"/>
      <c r="L84" s="22"/>
      <c r="M84" s="22"/>
      <c r="N84" s="22"/>
      <c r="O84" s="22"/>
      <c r="P84" s="22">
        <v>2</v>
      </c>
      <c r="Q84" s="22"/>
      <c r="R84" s="22">
        <v>0.17</v>
      </c>
      <c r="S84" s="22"/>
      <c r="T84" s="22"/>
      <c r="U84" s="22">
        <v>0.2</v>
      </c>
      <c r="V84" s="22"/>
      <c r="W84" s="22"/>
      <c r="X84" s="22"/>
      <c r="Y84" s="22"/>
      <c r="Z84" s="22"/>
      <c r="AA84" s="22">
        <f t="shared" si="20"/>
        <v>20.23</v>
      </c>
      <c r="AB84" s="122">
        <f t="shared" si="21"/>
        <v>0.82403258655804479</v>
      </c>
      <c r="AC84" s="153">
        <f t="shared" si="16"/>
        <v>0</v>
      </c>
      <c r="AD84" s="153">
        <f t="shared" si="17"/>
        <v>9.8863074641621362E-3</v>
      </c>
      <c r="AE84" s="153">
        <f t="shared" si="18"/>
        <v>9.8863074641621362E-3</v>
      </c>
      <c r="AF84" s="174">
        <v>3.9699999999999999E-2</v>
      </c>
      <c r="AG84" s="153">
        <f t="shared" si="19"/>
        <v>-2.9813692535837863E-2</v>
      </c>
      <c r="AH84" s="22">
        <f t="shared" si="15"/>
        <v>-0.60313100000000008</v>
      </c>
      <c r="AI84" s="169"/>
      <c r="AJ84" s="184" t="s">
        <v>496</v>
      </c>
      <c r="AK84" s="207"/>
      <c r="AL84" s="207"/>
    </row>
    <row r="85" spans="1:38" s="95" customFormat="1" x14ac:dyDescent="0.25">
      <c r="A85" s="211" t="s">
        <v>136</v>
      </c>
      <c r="B85" s="37">
        <v>13.59</v>
      </c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151">
        <v>3.27</v>
      </c>
      <c r="Q85" s="37"/>
      <c r="R85" s="37">
        <v>1.1100000000000001</v>
      </c>
      <c r="S85" s="37"/>
      <c r="T85" s="37"/>
      <c r="U85" s="37">
        <v>0.8</v>
      </c>
      <c r="V85" s="37"/>
      <c r="W85" s="37"/>
      <c r="X85" s="37"/>
      <c r="Y85" s="37"/>
      <c r="Z85" s="37"/>
      <c r="AA85" s="37">
        <f t="shared" si="20"/>
        <v>8.41</v>
      </c>
      <c r="AB85" s="134">
        <f t="shared" si="21"/>
        <v>0.61883738042678438</v>
      </c>
      <c r="AC85" s="134">
        <f t="shared" si="16"/>
        <v>0</v>
      </c>
      <c r="AD85" s="134">
        <f t="shared" si="17"/>
        <v>9.5124851367419744E-2</v>
      </c>
      <c r="AE85" s="134">
        <f t="shared" si="18"/>
        <v>9.5124851367419744E-2</v>
      </c>
      <c r="AF85" s="212">
        <v>3.9699999999999999E-2</v>
      </c>
      <c r="AG85" s="134">
        <f t="shared" si="19"/>
        <v>5.5424851367419745E-2</v>
      </c>
      <c r="AH85" s="37">
        <f t="shared" si="15"/>
        <v>0.46612300000000007</v>
      </c>
      <c r="AI85" s="169"/>
      <c r="AJ85" s="16"/>
      <c r="AK85" s="208"/>
      <c r="AL85" s="208" t="s">
        <v>887</v>
      </c>
    </row>
    <row r="86" spans="1:38" s="154" customFormat="1" x14ac:dyDescent="0.25">
      <c r="A86" s="152" t="s">
        <v>137</v>
      </c>
      <c r="B86" s="22">
        <v>13.58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151">
        <v>5.55</v>
      </c>
      <c r="Q86" s="22"/>
      <c r="R86" s="22">
        <v>0.96</v>
      </c>
      <c r="S86" s="22"/>
      <c r="T86" s="22"/>
      <c r="U86" s="22"/>
      <c r="V86" s="22"/>
      <c r="W86" s="22"/>
      <c r="X86" s="22"/>
      <c r="Y86" s="22"/>
      <c r="Z86" s="22"/>
      <c r="AA86" s="22">
        <f t="shared" si="20"/>
        <v>7.07</v>
      </c>
      <c r="AB86" s="153">
        <f t="shared" si="21"/>
        <v>0.52061855670103097</v>
      </c>
      <c r="AC86" s="153">
        <f t="shared" si="16"/>
        <v>0</v>
      </c>
      <c r="AD86" s="153">
        <f t="shared" si="17"/>
        <v>0</v>
      </c>
      <c r="AE86" s="153">
        <f t="shared" si="18"/>
        <v>0</v>
      </c>
      <c r="AF86" s="174">
        <v>3.9699999999999999E-2</v>
      </c>
      <c r="AG86" s="153">
        <f t="shared" si="19"/>
        <v>-3.9699999999999999E-2</v>
      </c>
      <c r="AH86" s="22">
        <f t="shared" si="15"/>
        <v>-0.28067900000000001</v>
      </c>
      <c r="AI86" s="169"/>
      <c r="AJ86" s="184"/>
      <c r="AK86" s="207"/>
      <c r="AL86" s="207" t="s">
        <v>888</v>
      </c>
    </row>
    <row r="87" spans="1:38" s="95" customFormat="1" ht="22.5" x14ac:dyDescent="0.25">
      <c r="A87" s="211" t="s">
        <v>699</v>
      </c>
      <c r="B87" s="37">
        <f>1.67+10.46</f>
        <v>12.13</v>
      </c>
      <c r="C87" s="37"/>
      <c r="D87" s="37">
        <v>0.78</v>
      </c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>
        <v>0.69</v>
      </c>
      <c r="S87" s="37"/>
      <c r="T87" s="37"/>
      <c r="U87" s="37"/>
      <c r="V87" s="37"/>
      <c r="W87" s="37"/>
      <c r="X87" s="37"/>
      <c r="Y87" s="37"/>
      <c r="Z87" s="37"/>
      <c r="AA87" s="37">
        <f t="shared" si="20"/>
        <v>10.66</v>
      </c>
      <c r="AB87" s="134">
        <f t="shared" si="21"/>
        <v>0.87881286067600983</v>
      </c>
      <c r="AC87" s="134">
        <f t="shared" si="16"/>
        <v>0</v>
      </c>
      <c r="AD87" s="134">
        <f t="shared" si="17"/>
        <v>0</v>
      </c>
      <c r="AE87" s="134">
        <f t="shared" si="18"/>
        <v>0</v>
      </c>
      <c r="AF87" s="212">
        <v>3.9699999999999999E-2</v>
      </c>
      <c r="AG87" s="134">
        <f t="shared" si="19"/>
        <v>-3.9699999999999999E-2</v>
      </c>
      <c r="AH87" s="37">
        <f t="shared" si="15"/>
        <v>-0.42320200000000002</v>
      </c>
      <c r="AI87" s="169"/>
      <c r="AJ87" s="16"/>
      <c r="AK87" s="208" t="s">
        <v>709</v>
      </c>
      <c r="AL87" s="208"/>
    </row>
    <row r="88" spans="1:38" s="154" customFormat="1" x14ac:dyDescent="0.25">
      <c r="A88" s="152" t="s">
        <v>138</v>
      </c>
      <c r="B88" s="22">
        <v>12.07</v>
      </c>
      <c r="C88" s="22"/>
      <c r="D88" s="22"/>
      <c r="E88" s="22"/>
      <c r="F88" s="22"/>
      <c r="G88" s="22">
        <v>0.8</v>
      </c>
      <c r="H88" s="22"/>
      <c r="I88" s="22"/>
      <c r="J88" s="22"/>
      <c r="K88" s="22"/>
      <c r="L88" s="22">
        <v>6.52</v>
      </c>
      <c r="M88" s="22"/>
      <c r="N88" s="22"/>
      <c r="O88" s="22"/>
      <c r="P88" s="22"/>
      <c r="Q88" s="22"/>
      <c r="R88" s="22"/>
      <c r="S88" s="22"/>
      <c r="T88" s="22">
        <v>7.0000000000000007E-2</v>
      </c>
      <c r="U88" s="22"/>
      <c r="V88" s="22"/>
      <c r="W88" s="22"/>
      <c r="X88" s="22"/>
      <c r="Y88" s="22"/>
      <c r="Z88" s="22"/>
      <c r="AA88" s="22">
        <f t="shared" ref="AA88:AA104" si="22">B88-(SUM(C88:Z88))</f>
        <v>4.6800000000000006</v>
      </c>
      <c r="AB88" s="153">
        <f t="shared" si="21"/>
        <v>0.38773819386909697</v>
      </c>
      <c r="AC88" s="153">
        <f t="shared" si="16"/>
        <v>1.4957264957264956E-2</v>
      </c>
      <c r="AD88" s="153">
        <f t="shared" si="17"/>
        <v>0</v>
      </c>
      <c r="AE88" s="153">
        <f t="shared" si="18"/>
        <v>1.4957264957264956E-2</v>
      </c>
      <c r="AF88" s="174">
        <v>3.9699999999999999E-2</v>
      </c>
      <c r="AG88" s="153">
        <f t="shared" si="19"/>
        <v>-3.9699999999999999E-2</v>
      </c>
      <c r="AH88" s="22">
        <f t="shared" si="15"/>
        <v>-0.18579600000000002</v>
      </c>
      <c r="AI88" s="169"/>
      <c r="AJ88" s="184"/>
      <c r="AK88" s="207"/>
      <c r="AL88" s="207"/>
    </row>
    <row r="89" spans="1:38" s="90" customFormat="1" x14ac:dyDescent="0.25">
      <c r="A89" s="150" t="s">
        <v>139</v>
      </c>
      <c r="B89" s="21">
        <v>12.07</v>
      </c>
      <c r="C89" s="21"/>
      <c r="D89" s="21"/>
      <c r="E89" s="21"/>
      <c r="F89" s="21"/>
      <c r="G89" s="21"/>
      <c r="H89" s="21"/>
      <c r="I89" s="21"/>
      <c r="J89" s="21"/>
      <c r="K89" s="21"/>
      <c r="L89" s="21">
        <v>1.53</v>
      </c>
      <c r="M89" s="21"/>
      <c r="N89" s="21"/>
      <c r="O89" s="21"/>
      <c r="P89" s="151"/>
      <c r="Q89" s="21"/>
      <c r="R89" s="21"/>
      <c r="S89" s="21"/>
      <c r="T89" s="21">
        <v>2.5</v>
      </c>
      <c r="U89" s="21"/>
      <c r="V89" s="21"/>
      <c r="W89" s="21"/>
      <c r="X89" s="21"/>
      <c r="Y89" s="21"/>
      <c r="Z89" s="21"/>
      <c r="AA89" s="21">
        <f t="shared" si="22"/>
        <v>8.0399999999999991</v>
      </c>
      <c r="AB89" s="114">
        <f t="shared" si="21"/>
        <v>0.6661143330571665</v>
      </c>
      <c r="AC89" s="133">
        <f t="shared" si="16"/>
        <v>0.31094527363184082</v>
      </c>
      <c r="AD89" s="133">
        <f t="shared" si="17"/>
        <v>0</v>
      </c>
      <c r="AE89" s="133">
        <f t="shared" si="18"/>
        <v>0.31094527363184082</v>
      </c>
      <c r="AF89" s="175">
        <v>3.9699999999999999E-2</v>
      </c>
      <c r="AG89" s="133">
        <f t="shared" si="19"/>
        <v>-3.9699999999999999E-2</v>
      </c>
      <c r="AH89" s="35">
        <f t="shared" ref="AH89:AH106" si="23">U89-(AA89*AF89)</f>
        <v>-0.31918799999999997</v>
      </c>
      <c r="AI89" s="169"/>
      <c r="AJ89" s="15"/>
      <c r="AK89" s="196"/>
      <c r="AL89" s="196" t="s">
        <v>889</v>
      </c>
    </row>
    <row r="90" spans="1:38" s="154" customFormat="1" x14ac:dyDescent="0.25">
      <c r="A90" s="152" t="s">
        <v>140</v>
      </c>
      <c r="B90" s="22">
        <v>13.74</v>
      </c>
      <c r="C90" s="22"/>
      <c r="D90" s="22">
        <v>0.21</v>
      </c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151">
        <v>4.28</v>
      </c>
      <c r="Q90" s="22"/>
      <c r="R90" s="22"/>
      <c r="S90" s="22"/>
      <c r="T90" s="22">
        <v>1.1299999999999999</v>
      </c>
      <c r="U90" s="22"/>
      <c r="V90" s="22"/>
      <c r="W90" s="22"/>
      <c r="X90" s="22"/>
      <c r="Y90" s="22"/>
      <c r="Z90" s="22"/>
      <c r="AA90" s="22">
        <f t="shared" si="22"/>
        <v>8.120000000000001</v>
      </c>
      <c r="AB90" s="153">
        <f t="shared" si="21"/>
        <v>0.59097525473071333</v>
      </c>
      <c r="AC90" s="153">
        <f t="shared" ref="AC90:AC107" si="24">T90/AA90</f>
        <v>0.13916256157635465</v>
      </c>
      <c r="AD90" s="153">
        <f t="shared" ref="AD90:AD107" si="25">U90/AA90</f>
        <v>0</v>
      </c>
      <c r="AE90" s="153">
        <f t="shared" ref="AE90:AE107" si="26">(T90+U90)/AA90</f>
        <v>0.13916256157635465</v>
      </c>
      <c r="AF90" s="174">
        <v>3.9699999999999999E-2</v>
      </c>
      <c r="AG90" s="153">
        <f t="shared" ref="AG90:AG103" si="27">AD90-AF90</f>
        <v>-3.9699999999999999E-2</v>
      </c>
      <c r="AH90" s="22">
        <f t="shared" si="23"/>
        <v>-0.32236400000000004</v>
      </c>
      <c r="AI90" s="169"/>
      <c r="AJ90" s="184"/>
      <c r="AK90" s="207"/>
      <c r="AL90" s="207" t="s">
        <v>890</v>
      </c>
    </row>
    <row r="91" spans="1:38" s="90" customFormat="1" x14ac:dyDescent="0.25">
      <c r="A91" s="150" t="s">
        <v>141</v>
      </c>
      <c r="B91" s="21">
        <v>13.25</v>
      </c>
      <c r="C91" s="21">
        <v>0.86</v>
      </c>
      <c r="D91" s="21">
        <v>0.86</v>
      </c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151">
        <v>0.54</v>
      </c>
      <c r="Q91" s="21"/>
      <c r="R91" s="21"/>
      <c r="S91" s="21"/>
      <c r="T91" s="21"/>
      <c r="U91" s="21">
        <v>0.9</v>
      </c>
      <c r="V91" s="21"/>
      <c r="W91" s="21"/>
      <c r="X91" s="21"/>
      <c r="Y91" s="21"/>
      <c r="Z91" s="21"/>
      <c r="AA91" s="21">
        <f t="shared" si="22"/>
        <v>10.09</v>
      </c>
      <c r="AB91" s="114">
        <f t="shared" si="21"/>
        <v>0.76150943396226412</v>
      </c>
      <c r="AC91" s="133">
        <f t="shared" si="24"/>
        <v>0</v>
      </c>
      <c r="AD91" s="133">
        <f t="shared" si="25"/>
        <v>8.9197224975222991E-2</v>
      </c>
      <c r="AE91" s="133">
        <f t="shared" si="26"/>
        <v>8.9197224975222991E-2</v>
      </c>
      <c r="AF91" s="175">
        <v>3.9699999999999999E-2</v>
      </c>
      <c r="AG91" s="133">
        <f t="shared" si="27"/>
        <v>4.9497224975222992E-2</v>
      </c>
      <c r="AH91" s="35">
        <f t="shared" si="23"/>
        <v>0.49942700000000001</v>
      </c>
      <c r="AI91" s="169"/>
      <c r="AJ91" s="15"/>
      <c r="AK91" s="196"/>
      <c r="AL91" s="196" t="s">
        <v>891</v>
      </c>
    </row>
    <row r="92" spans="1:38" s="154" customFormat="1" x14ac:dyDescent="0.25">
      <c r="A92" s="152" t="s">
        <v>142</v>
      </c>
      <c r="B92" s="22">
        <v>12.01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151">
        <v>2.16</v>
      </c>
      <c r="Q92" s="22"/>
      <c r="R92" s="22">
        <v>0.67</v>
      </c>
      <c r="S92" s="22"/>
      <c r="T92" s="22"/>
      <c r="U92" s="22"/>
      <c r="V92" s="22"/>
      <c r="W92" s="22"/>
      <c r="X92" s="22"/>
      <c r="Y92" s="22"/>
      <c r="Z92" s="22"/>
      <c r="AA92" s="22">
        <f t="shared" si="22"/>
        <v>9.18</v>
      </c>
      <c r="AB92" s="153">
        <f t="shared" si="21"/>
        <v>0.76436303080766033</v>
      </c>
      <c r="AC92" s="153">
        <f t="shared" si="24"/>
        <v>0</v>
      </c>
      <c r="AD92" s="153">
        <f t="shared" si="25"/>
        <v>0</v>
      </c>
      <c r="AE92" s="153">
        <f t="shared" si="26"/>
        <v>0</v>
      </c>
      <c r="AF92" s="174">
        <v>3.9699999999999999E-2</v>
      </c>
      <c r="AG92" s="153">
        <f t="shared" si="27"/>
        <v>-3.9699999999999999E-2</v>
      </c>
      <c r="AH92" s="22">
        <f t="shared" si="23"/>
        <v>-0.36444599999999999</v>
      </c>
      <c r="AI92" s="169"/>
      <c r="AJ92" s="184"/>
      <c r="AK92" s="207"/>
      <c r="AL92" s="207" t="s">
        <v>892</v>
      </c>
    </row>
    <row r="93" spans="1:38" s="90" customFormat="1" x14ac:dyDescent="0.25">
      <c r="A93" s="150" t="s">
        <v>143</v>
      </c>
      <c r="B93" s="21">
        <v>12.02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151">
        <v>0.7</v>
      </c>
      <c r="Q93" s="21"/>
      <c r="R93" s="21"/>
      <c r="S93" s="21"/>
      <c r="T93" s="21"/>
      <c r="U93" s="21">
        <v>0.1</v>
      </c>
      <c r="V93" s="21"/>
      <c r="W93" s="21"/>
      <c r="X93" s="21"/>
      <c r="Y93" s="21"/>
      <c r="Z93" s="21"/>
      <c r="AA93" s="21">
        <f t="shared" si="22"/>
        <v>11.219999999999999</v>
      </c>
      <c r="AB93" s="114">
        <f t="shared" si="21"/>
        <v>0.93344425956738764</v>
      </c>
      <c r="AC93" s="133">
        <f t="shared" si="24"/>
        <v>0</v>
      </c>
      <c r="AD93" s="133">
        <f t="shared" si="25"/>
        <v>8.912655971479503E-3</v>
      </c>
      <c r="AE93" s="133">
        <f t="shared" si="26"/>
        <v>8.912655971479503E-3</v>
      </c>
      <c r="AF93" s="175">
        <v>3.9699999999999999E-2</v>
      </c>
      <c r="AG93" s="133">
        <f t="shared" si="27"/>
        <v>-3.0787344028520496E-2</v>
      </c>
      <c r="AH93" s="35">
        <f t="shared" si="23"/>
        <v>-0.34543399999999991</v>
      </c>
      <c r="AI93" s="169"/>
      <c r="AJ93" s="15"/>
      <c r="AK93" s="196"/>
      <c r="AL93" s="196" t="s">
        <v>893</v>
      </c>
    </row>
    <row r="94" spans="1:38" s="154" customFormat="1" x14ac:dyDescent="0.25">
      <c r="A94" s="152" t="s">
        <v>144</v>
      </c>
      <c r="B94" s="22">
        <v>11.97</v>
      </c>
      <c r="C94" s="22">
        <v>1.81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151">
        <v>1.5</v>
      </c>
      <c r="Q94" s="22"/>
      <c r="R94" s="22"/>
      <c r="S94" s="22"/>
      <c r="T94" s="22"/>
      <c r="U94" s="22">
        <v>0.01</v>
      </c>
      <c r="V94" s="22"/>
      <c r="W94" s="22"/>
      <c r="X94" s="22"/>
      <c r="Y94" s="22"/>
      <c r="Z94" s="22"/>
      <c r="AA94" s="22">
        <f t="shared" si="22"/>
        <v>8.65</v>
      </c>
      <c r="AB94" s="153">
        <f t="shared" si="21"/>
        <v>0.72263993316624897</v>
      </c>
      <c r="AC94" s="153">
        <f t="shared" si="24"/>
        <v>0</v>
      </c>
      <c r="AD94" s="153">
        <f t="shared" si="25"/>
        <v>1.1560693641618498E-3</v>
      </c>
      <c r="AE94" s="153">
        <f t="shared" si="26"/>
        <v>1.1560693641618498E-3</v>
      </c>
      <c r="AF94" s="174">
        <v>3.9699999999999999E-2</v>
      </c>
      <c r="AG94" s="153">
        <f t="shared" si="27"/>
        <v>-3.854393063583815E-2</v>
      </c>
      <c r="AH94" s="22">
        <f t="shared" si="23"/>
        <v>-0.33340500000000001</v>
      </c>
      <c r="AI94" s="169"/>
      <c r="AJ94" s="184"/>
      <c r="AK94" s="207"/>
      <c r="AL94" s="207" t="s">
        <v>894</v>
      </c>
    </row>
    <row r="95" spans="1:38" s="90" customFormat="1" ht="22.5" x14ac:dyDescent="0.25">
      <c r="A95" s="150" t="s">
        <v>698</v>
      </c>
      <c r="B95" s="21">
        <f>4.06+8.01</f>
        <v>12.07</v>
      </c>
      <c r="C95" s="21">
        <v>0.16</v>
      </c>
      <c r="D95" s="21">
        <v>0.66</v>
      </c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>
        <f>0.03+0.12</f>
        <v>0.15</v>
      </c>
      <c r="S95" s="21"/>
      <c r="T95" s="21"/>
      <c r="U95" s="21"/>
      <c r="V95" s="21">
        <v>0.75</v>
      </c>
      <c r="W95" s="21"/>
      <c r="X95" s="21"/>
      <c r="Y95" s="21"/>
      <c r="Z95" s="21"/>
      <c r="AA95" s="21">
        <f t="shared" si="22"/>
        <v>10.35</v>
      </c>
      <c r="AB95" s="114">
        <f t="shared" ref="AB95:AB107" si="28">AA95/B95</f>
        <v>0.85749792874896436</v>
      </c>
      <c r="AC95" s="133">
        <f t="shared" si="24"/>
        <v>0</v>
      </c>
      <c r="AD95" s="133">
        <f t="shared" si="25"/>
        <v>0</v>
      </c>
      <c r="AE95" s="133">
        <f t="shared" si="26"/>
        <v>0</v>
      </c>
      <c r="AF95" s="175">
        <v>3.9699999999999999E-2</v>
      </c>
      <c r="AG95" s="133">
        <f t="shared" si="27"/>
        <v>-3.9699999999999999E-2</v>
      </c>
      <c r="AH95" s="35">
        <f t="shared" si="23"/>
        <v>-0.41089499999999995</v>
      </c>
      <c r="AI95" s="169"/>
      <c r="AJ95" s="15"/>
      <c r="AK95" s="196" t="s">
        <v>710</v>
      </c>
      <c r="AL95" s="196"/>
    </row>
    <row r="96" spans="1:38" s="154" customFormat="1" x14ac:dyDescent="0.25">
      <c r="A96" s="152" t="s">
        <v>145</v>
      </c>
      <c r="B96" s="22">
        <v>11.98</v>
      </c>
      <c r="C96" s="22">
        <v>0.78</v>
      </c>
      <c r="D96" s="22">
        <v>2.1</v>
      </c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>
        <v>0.57999999999999996</v>
      </c>
      <c r="S96" s="22"/>
      <c r="T96" s="22"/>
      <c r="U96" s="22"/>
      <c r="V96" s="22">
        <v>1.46</v>
      </c>
      <c r="W96" s="22"/>
      <c r="X96" s="22"/>
      <c r="Y96" s="22"/>
      <c r="Z96" s="22"/>
      <c r="AA96" s="22">
        <f t="shared" si="22"/>
        <v>7.0600000000000005</v>
      </c>
      <c r="AB96" s="153">
        <f t="shared" si="28"/>
        <v>0.58931552587646074</v>
      </c>
      <c r="AC96" s="153">
        <f t="shared" si="24"/>
        <v>0</v>
      </c>
      <c r="AD96" s="153">
        <f t="shared" si="25"/>
        <v>0</v>
      </c>
      <c r="AE96" s="153">
        <f t="shared" si="26"/>
        <v>0</v>
      </c>
      <c r="AF96" s="174">
        <v>3.9699999999999999E-2</v>
      </c>
      <c r="AG96" s="153">
        <f t="shared" si="27"/>
        <v>-3.9699999999999999E-2</v>
      </c>
      <c r="AH96" s="22">
        <f t="shared" si="23"/>
        <v>-0.28028200000000003</v>
      </c>
      <c r="AI96" s="169"/>
      <c r="AJ96" s="184"/>
      <c r="AK96" s="207"/>
      <c r="AL96" s="207"/>
    </row>
    <row r="97" spans="1:38" s="95" customFormat="1" x14ac:dyDescent="0.25">
      <c r="A97" s="211" t="s">
        <v>146</v>
      </c>
      <c r="B97" s="37">
        <v>4.0999999999999996</v>
      </c>
      <c r="C97" s="37">
        <v>0.03</v>
      </c>
      <c r="D97" s="37">
        <v>0.31</v>
      </c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>
        <v>0.05</v>
      </c>
      <c r="S97" s="37"/>
      <c r="T97" s="37"/>
      <c r="U97" s="37"/>
      <c r="V97" s="37"/>
      <c r="W97" s="37"/>
      <c r="X97" s="37"/>
      <c r="Y97" s="37"/>
      <c r="Z97" s="37"/>
      <c r="AA97" s="37">
        <f t="shared" si="22"/>
        <v>3.7099999999999995</v>
      </c>
      <c r="AB97" s="134">
        <f t="shared" si="28"/>
        <v>0.90487804878048772</v>
      </c>
      <c r="AC97" s="134">
        <f t="shared" si="24"/>
        <v>0</v>
      </c>
      <c r="AD97" s="134">
        <f t="shared" si="25"/>
        <v>0</v>
      </c>
      <c r="AE97" s="134">
        <f t="shared" si="26"/>
        <v>0</v>
      </c>
      <c r="AF97" s="212">
        <v>3.9699999999999999E-2</v>
      </c>
      <c r="AG97" s="134">
        <f t="shared" si="27"/>
        <v>-3.9699999999999999E-2</v>
      </c>
      <c r="AH97" s="37">
        <f t="shared" si="23"/>
        <v>-0.14728699999999997</v>
      </c>
      <c r="AI97" s="169"/>
      <c r="AJ97" s="16"/>
      <c r="AK97" s="208"/>
      <c r="AL97" s="208"/>
    </row>
    <row r="98" spans="1:38" s="154" customFormat="1" x14ac:dyDescent="0.25">
      <c r="A98" s="152" t="s">
        <v>147</v>
      </c>
      <c r="B98" s="22">
        <v>8.44</v>
      </c>
      <c r="C98" s="22">
        <v>0.48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>
        <v>1.21</v>
      </c>
      <c r="S98" s="22"/>
      <c r="T98" s="22"/>
      <c r="U98" s="22"/>
      <c r="V98" s="22"/>
      <c r="W98" s="22"/>
      <c r="X98" s="22"/>
      <c r="Y98" s="22"/>
      <c r="Z98" s="22"/>
      <c r="AA98" s="22">
        <f t="shared" si="22"/>
        <v>6.75</v>
      </c>
      <c r="AB98" s="153">
        <f t="shared" si="28"/>
        <v>0.79976303317535546</v>
      </c>
      <c r="AC98" s="153">
        <f t="shared" si="24"/>
        <v>0</v>
      </c>
      <c r="AD98" s="153">
        <f t="shared" si="25"/>
        <v>0</v>
      </c>
      <c r="AE98" s="153">
        <f t="shared" si="26"/>
        <v>0</v>
      </c>
      <c r="AF98" s="174">
        <v>3.9699999999999999E-2</v>
      </c>
      <c r="AG98" s="153">
        <f t="shared" si="27"/>
        <v>-3.9699999999999999E-2</v>
      </c>
      <c r="AH98" s="22">
        <f t="shared" si="23"/>
        <v>-0.26797500000000002</v>
      </c>
      <c r="AI98" s="169"/>
      <c r="AJ98" s="184"/>
      <c r="AK98" s="207"/>
      <c r="AL98" s="207"/>
    </row>
    <row r="99" spans="1:38" s="95" customFormat="1" x14ac:dyDescent="0.25">
      <c r="A99" s="211" t="s">
        <v>148</v>
      </c>
      <c r="B99" s="37">
        <v>12.09</v>
      </c>
      <c r="C99" s="37">
        <v>0.69</v>
      </c>
      <c r="D99" s="37">
        <v>0.86</v>
      </c>
      <c r="E99" s="37"/>
      <c r="F99" s="37"/>
      <c r="G99" s="37"/>
      <c r="H99" s="37"/>
      <c r="I99" s="37"/>
      <c r="J99" s="37"/>
      <c r="K99" s="37"/>
      <c r="L99" s="37">
        <v>0.12</v>
      </c>
      <c r="M99" s="37"/>
      <c r="N99" s="37"/>
      <c r="O99" s="37"/>
      <c r="P99" s="151"/>
      <c r="Q99" s="37"/>
      <c r="R99" s="37">
        <v>0.01</v>
      </c>
      <c r="S99" s="37"/>
      <c r="T99" s="37">
        <v>4.99</v>
      </c>
      <c r="U99" s="37"/>
      <c r="V99" s="37">
        <v>0.35</v>
      </c>
      <c r="W99" s="37"/>
      <c r="X99" s="37"/>
      <c r="Y99" s="37"/>
      <c r="Z99" s="37"/>
      <c r="AA99" s="37">
        <f t="shared" si="22"/>
        <v>5.07</v>
      </c>
      <c r="AB99" s="134">
        <f t="shared" si="28"/>
        <v>0.41935483870967744</v>
      </c>
      <c r="AC99" s="134">
        <f t="shared" si="24"/>
        <v>0.98422090729783041</v>
      </c>
      <c r="AD99" s="134">
        <f t="shared" si="25"/>
        <v>0</v>
      </c>
      <c r="AE99" s="134">
        <f t="shared" si="26"/>
        <v>0.98422090729783041</v>
      </c>
      <c r="AF99" s="212">
        <v>3.9699999999999999E-2</v>
      </c>
      <c r="AG99" s="134">
        <f t="shared" si="27"/>
        <v>-3.9699999999999999E-2</v>
      </c>
      <c r="AH99" s="37">
        <f t="shared" si="23"/>
        <v>-0.20127900000000001</v>
      </c>
      <c r="AI99" s="169"/>
      <c r="AJ99" s="16"/>
      <c r="AK99" s="208"/>
      <c r="AL99" s="208" t="s">
        <v>918</v>
      </c>
    </row>
    <row r="100" spans="1:38" s="154" customFormat="1" x14ac:dyDescent="0.25">
      <c r="A100" s="152" t="s">
        <v>149</v>
      </c>
      <c r="B100" s="22">
        <v>1.93</v>
      </c>
      <c r="C100" s="22"/>
      <c r="D100" s="22">
        <v>0.17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>
        <f t="shared" si="22"/>
        <v>1.76</v>
      </c>
      <c r="AB100" s="153">
        <f t="shared" si="28"/>
        <v>0.91191709844559588</v>
      </c>
      <c r="AC100" s="153">
        <f t="shared" si="24"/>
        <v>0</v>
      </c>
      <c r="AD100" s="153">
        <f t="shared" si="25"/>
        <v>0</v>
      </c>
      <c r="AE100" s="153">
        <f t="shared" si="26"/>
        <v>0</v>
      </c>
      <c r="AF100" s="174">
        <v>3.9699999999999999E-2</v>
      </c>
      <c r="AG100" s="153">
        <f t="shared" si="27"/>
        <v>-3.9699999999999999E-2</v>
      </c>
      <c r="AH100" s="22">
        <f t="shared" si="23"/>
        <v>-6.9872000000000004E-2</v>
      </c>
      <c r="AI100" s="169"/>
      <c r="AJ100" s="184"/>
      <c r="AK100" s="207"/>
      <c r="AL100" s="207"/>
    </row>
    <row r="101" spans="1:38" s="95" customFormat="1" x14ac:dyDescent="0.25">
      <c r="A101" s="211" t="s">
        <v>150</v>
      </c>
      <c r="B101" s="37">
        <v>13.68</v>
      </c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>
        <v>0.69</v>
      </c>
      <c r="S101" s="37"/>
      <c r="T101" s="37"/>
      <c r="U101" s="37"/>
      <c r="V101" s="37"/>
      <c r="W101" s="37"/>
      <c r="X101" s="37"/>
      <c r="Y101" s="37"/>
      <c r="Z101" s="37"/>
      <c r="AA101" s="37">
        <f t="shared" si="22"/>
        <v>12.99</v>
      </c>
      <c r="AB101" s="134">
        <f t="shared" si="28"/>
        <v>0.94956140350877194</v>
      </c>
      <c r="AC101" s="134">
        <f t="shared" si="24"/>
        <v>0</v>
      </c>
      <c r="AD101" s="134">
        <f t="shared" si="25"/>
        <v>0</v>
      </c>
      <c r="AE101" s="134">
        <f t="shared" si="26"/>
        <v>0</v>
      </c>
      <c r="AF101" s="212">
        <v>3.9699999999999999E-2</v>
      </c>
      <c r="AG101" s="134">
        <f t="shared" si="27"/>
        <v>-3.9699999999999999E-2</v>
      </c>
      <c r="AH101" s="37">
        <f t="shared" si="23"/>
        <v>-0.51570300000000002</v>
      </c>
      <c r="AI101" s="169"/>
      <c r="AJ101" s="16"/>
      <c r="AK101" s="208"/>
      <c r="AL101" s="208"/>
    </row>
    <row r="102" spans="1:38" s="154" customFormat="1" x14ac:dyDescent="0.25">
      <c r="A102" s="152" t="s">
        <v>151</v>
      </c>
      <c r="B102" s="22">
        <v>11.98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>
        <v>1.06</v>
      </c>
      <c r="V102" s="22"/>
      <c r="W102" s="22"/>
      <c r="X102" s="22"/>
      <c r="Y102" s="22"/>
      <c r="Z102" s="22"/>
      <c r="AA102" s="22">
        <f t="shared" si="22"/>
        <v>10.92</v>
      </c>
      <c r="AB102" s="153">
        <f t="shared" si="28"/>
        <v>0.91151919866444064</v>
      </c>
      <c r="AC102" s="153">
        <f t="shared" si="24"/>
        <v>0</v>
      </c>
      <c r="AD102" s="153">
        <f t="shared" si="25"/>
        <v>9.7069597069597072E-2</v>
      </c>
      <c r="AE102" s="153">
        <f t="shared" si="26"/>
        <v>9.7069597069597072E-2</v>
      </c>
      <c r="AF102" s="174">
        <v>3.9699999999999999E-2</v>
      </c>
      <c r="AG102" s="153">
        <f t="shared" si="27"/>
        <v>5.7369597069597073E-2</v>
      </c>
      <c r="AH102" s="22">
        <f t="shared" si="23"/>
        <v>0.62647600000000003</v>
      </c>
      <c r="AI102" s="169"/>
      <c r="AJ102" s="184"/>
      <c r="AK102" s="207"/>
      <c r="AL102" s="207"/>
    </row>
    <row r="103" spans="1:38" s="95" customFormat="1" ht="22.5" x14ac:dyDescent="0.25">
      <c r="A103" s="211" t="s">
        <v>697</v>
      </c>
      <c r="B103" s="37">
        <f>7.98+4.06</f>
        <v>12.04</v>
      </c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>
        <v>0.55000000000000004</v>
      </c>
      <c r="V103" s="37"/>
      <c r="W103" s="37"/>
      <c r="X103" s="37"/>
      <c r="Y103" s="37"/>
      <c r="Z103" s="37"/>
      <c r="AA103" s="37">
        <f t="shared" si="22"/>
        <v>11.489999999999998</v>
      </c>
      <c r="AB103" s="134">
        <f t="shared" si="28"/>
        <v>0.95431893687707636</v>
      </c>
      <c r="AC103" s="134">
        <f t="shared" si="24"/>
        <v>0</v>
      </c>
      <c r="AD103" s="134">
        <f t="shared" si="25"/>
        <v>4.7867711053089651E-2</v>
      </c>
      <c r="AE103" s="134">
        <f t="shared" si="26"/>
        <v>4.7867711053089651E-2</v>
      </c>
      <c r="AF103" s="212">
        <v>3.9699999999999999E-2</v>
      </c>
      <c r="AG103" s="134">
        <f t="shared" si="27"/>
        <v>8.1677110530896518E-3</v>
      </c>
      <c r="AH103" s="37">
        <f t="shared" si="23"/>
        <v>9.3847000000000125E-2</v>
      </c>
      <c r="AI103" s="169"/>
      <c r="AJ103" s="16"/>
      <c r="AK103" s="208" t="s">
        <v>711</v>
      </c>
      <c r="AL103" s="208"/>
    </row>
    <row r="104" spans="1:38" s="90" customFormat="1" ht="33.75" x14ac:dyDescent="0.25">
      <c r="A104" s="107" t="s">
        <v>14</v>
      </c>
      <c r="B104" s="23">
        <f t="shared" ref="B104:Z104" si="29">SUM(B31:B103)</f>
        <v>1063.3500000000001</v>
      </c>
      <c r="C104" s="23">
        <f t="shared" si="29"/>
        <v>12.319999999999999</v>
      </c>
      <c r="D104" s="23">
        <f t="shared" si="29"/>
        <v>16.850000000000001</v>
      </c>
      <c r="E104" s="23">
        <f t="shared" si="29"/>
        <v>0</v>
      </c>
      <c r="F104" s="23">
        <f t="shared" si="29"/>
        <v>2.35</v>
      </c>
      <c r="G104" s="23">
        <f t="shared" si="29"/>
        <v>6.29</v>
      </c>
      <c r="H104" s="23">
        <f t="shared" si="29"/>
        <v>1.5</v>
      </c>
      <c r="I104" s="23">
        <f t="shared" si="29"/>
        <v>0</v>
      </c>
      <c r="J104" s="23">
        <f t="shared" si="29"/>
        <v>0</v>
      </c>
      <c r="K104" s="23">
        <f t="shared" si="29"/>
        <v>0.4</v>
      </c>
      <c r="L104" s="23">
        <f t="shared" si="29"/>
        <v>30.87</v>
      </c>
      <c r="M104" s="23">
        <f t="shared" si="29"/>
        <v>0</v>
      </c>
      <c r="N104" s="23">
        <f t="shared" si="29"/>
        <v>0</v>
      </c>
      <c r="O104" s="23">
        <f t="shared" si="29"/>
        <v>0</v>
      </c>
      <c r="P104" s="23">
        <f t="shared" si="29"/>
        <v>60.350000000000009</v>
      </c>
      <c r="Q104" s="23">
        <f t="shared" si="29"/>
        <v>0</v>
      </c>
      <c r="R104" s="23">
        <f t="shared" si="29"/>
        <v>29.160000000000007</v>
      </c>
      <c r="S104" s="23">
        <f t="shared" si="29"/>
        <v>0</v>
      </c>
      <c r="T104" s="23">
        <f t="shared" si="29"/>
        <v>30.060000000000002</v>
      </c>
      <c r="U104" s="23">
        <f t="shared" si="29"/>
        <v>18.89</v>
      </c>
      <c r="V104" s="23">
        <f t="shared" si="29"/>
        <v>12.49</v>
      </c>
      <c r="W104" s="23">
        <f t="shared" si="29"/>
        <v>46.94</v>
      </c>
      <c r="X104" s="23">
        <f t="shared" si="29"/>
        <v>0</v>
      </c>
      <c r="Y104" s="23">
        <f t="shared" si="29"/>
        <v>0</v>
      </c>
      <c r="Z104" s="23">
        <f t="shared" si="29"/>
        <v>0</v>
      </c>
      <c r="AA104" s="24">
        <f t="shared" si="22"/>
        <v>794.88000000000011</v>
      </c>
      <c r="AB104" s="118">
        <f t="shared" si="28"/>
        <v>0.74752433347439695</v>
      </c>
      <c r="AC104" s="118">
        <f t="shared" si="24"/>
        <v>3.7817028985507241E-2</v>
      </c>
      <c r="AD104" s="118">
        <f t="shared" si="25"/>
        <v>2.376459339774557E-2</v>
      </c>
      <c r="AE104" s="118">
        <f t="shared" si="26"/>
        <v>6.1581622383252814E-2</v>
      </c>
      <c r="AF104" s="123">
        <v>3.9699999999999999E-2</v>
      </c>
      <c r="AG104" s="118">
        <f>AD104-AF104</f>
        <v>-1.593540660225443E-2</v>
      </c>
      <c r="AH104" s="24">
        <f t="shared" si="23"/>
        <v>-12.666736000000004</v>
      </c>
      <c r="AI104" s="169"/>
      <c r="AJ104" s="214" t="s">
        <v>645</v>
      </c>
      <c r="AK104" s="214"/>
      <c r="AL104" s="214"/>
    </row>
    <row r="105" spans="1:38" s="90" customFormat="1" x14ac:dyDescent="0.25">
      <c r="A105" s="150" t="s">
        <v>152</v>
      </c>
      <c r="B105" s="21">
        <v>19.25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151">
        <v>0.61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  <c r="Z105" s="21">
        <f>B105-T105</f>
        <v>18.64</v>
      </c>
      <c r="AA105" s="21">
        <v>0</v>
      </c>
      <c r="AB105" s="114">
        <f t="shared" si="28"/>
        <v>0</v>
      </c>
      <c r="AC105" s="133">
        <v>0</v>
      </c>
      <c r="AD105" s="133">
        <v>0</v>
      </c>
      <c r="AE105" s="133">
        <v>0</v>
      </c>
      <c r="AF105" s="133"/>
      <c r="AG105" s="133"/>
      <c r="AH105" s="35">
        <f t="shared" si="23"/>
        <v>0</v>
      </c>
      <c r="AI105" s="169"/>
      <c r="AJ105" s="15"/>
      <c r="AK105" s="196"/>
      <c r="AL105" s="196"/>
    </row>
    <row r="106" spans="1:38" s="90" customFormat="1" x14ac:dyDescent="0.25">
      <c r="A106" s="107" t="s">
        <v>14</v>
      </c>
      <c r="B106" s="23">
        <v>19.25</v>
      </c>
      <c r="C106" s="23">
        <v>0</v>
      </c>
      <c r="D106" s="32">
        <v>0</v>
      </c>
      <c r="E106" s="32">
        <v>0</v>
      </c>
      <c r="F106" s="23">
        <v>0</v>
      </c>
      <c r="G106" s="23">
        <v>0</v>
      </c>
      <c r="H106" s="32">
        <v>0</v>
      </c>
      <c r="I106" s="32">
        <v>0</v>
      </c>
      <c r="J106" s="32">
        <v>0</v>
      </c>
      <c r="K106" s="23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23">
        <v>0</v>
      </c>
      <c r="S106" s="23">
        <v>0</v>
      </c>
      <c r="T106" s="32">
        <f>T105</f>
        <v>0.61</v>
      </c>
      <c r="U106" s="32">
        <v>0</v>
      </c>
      <c r="V106" s="23">
        <v>0</v>
      </c>
      <c r="W106" s="23">
        <v>0</v>
      </c>
      <c r="X106" s="23">
        <v>0</v>
      </c>
      <c r="Y106" s="23">
        <v>0</v>
      </c>
      <c r="Z106" s="23">
        <v>18.64</v>
      </c>
      <c r="AA106" s="39">
        <v>0</v>
      </c>
      <c r="AB106" s="176">
        <f t="shared" si="28"/>
        <v>0</v>
      </c>
      <c r="AC106" s="176">
        <v>0</v>
      </c>
      <c r="AD106" s="176">
        <v>0</v>
      </c>
      <c r="AE106" s="176">
        <v>0</v>
      </c>
      <c r="AF106" s="118"/>
      <c r="AG106" s="118"/>
      <c r="AH106" s="23">
        <f t="shared" si="23"/>
        <v>0</v>
      </c>
      <c r="AI106" s="169"/>
      <c r="AJ106" s="215"/>
      <c r="AK106" s="214"/>
      <c r="AL106" s="214"/>
    </row>
    <row r="107" spans="1:38" s="148" customFormat="1" x14ac:dyDescent="0.25">
      <c r="A107" s="156" t="s">
        <v>153</v>
      </c>
      <c r="B107" s="25">
        <f>B104+B106</f>
        <v>1082.6000000000001</v>
      </c>
      <c r="C107" s="25">
        <f t="shared" ref="C107:Z107" si="30">C104+C106</f>
        <v>12.319999999999999</v>
      </c>
      <c r="D107" s="25">
        <f t="shared" si="30"/>
        <v>16.850000000000001</v>
      </c>
      <c r="E107" s="25">
        <f t="shared" si="30"/>
        <v>0</v>
      </c>
      <c r="F107" s="25">
        <f t="shared" si="30"/>
        <v>2.35</v>
      </c>
      <c r="G107" s="25">
        <f t="shared" si="30"/>
        <v>6.29</v>
      </c>
      <c r="H107" s="25">
        <f t="shared" si="30"/>
        <v>1.5</v>
      </c>
      <c r="I107" s="25">
        <f t="shared" si="30"/>
        <v>0</v>
      </c>
      <c r="J107" s="25">
        <f t="shared" si="30"/>
        <v>0</v>
      </c>
      <c r="K107" s="25">
        <f t="shared" si="30"/>
        <v>0.4</v>
      </c>
      <c r="L107" s="25">
        <f t="shared" si="30"/>
        <v>30.87</v>
      </c>
      <c r="M107" s="25">
        <f t="shared" si="30"/>
        <v>0</v>
      </c>
      <c r="N107" s="25">
        <f t="shared" si="30"/>
        <v>0</v>
      </c>
      <c r="O107" s="25">
        <f t="shared" si="30"/>
        <v>0</v>
      </c>
      <c r="P107" s="25">
        <f t="shared" si="30"/>
        <v>60.350000000000009</v>
      </c>
      <c r="Q107" s="25">
        <f t="shared" si="30"/>
        <v>0</v>
      </c>
      <c r="R107" s="25">
        <f t="shared" si="30"/>
        <v>29.160000000000007</v>
      </c>
      <c r="S107" s="25">
        <f t="shared" si="30"/>
        <v>0</v>
      </c>
      <c r="T107" s="25">
        <f t="shared" si="30"/>
        <v>30.67</v>
      </c>
      <c r="U107" s="25">
        <f t="shared" si="30"/>
        <v>18.89</v>
      </c>
      <c r="V107" s="25">
        <f t="shared" si="30"/>
        <v>12.49</v>
      </c>
      <c r="W107" s="25">
        <f t="shared" si="30"/>
        <v>46.94</v>
      </c>
      <c r="X107" s="25">
        <f t="shared" si="30"/>
        <v>0</v>
      </c>
      <c r="Y107" s="25">
        <f t="shared" si="30"/>
        <v>0</v>
      </c>
      <c r="Z107" s="25">
        <f t="shared" si="30"/>
        <v>18.64</v>
      </c>
      <c r="AA107" s="26">
        <f>AA104+AA106</f>
        <v>794.88000000000011</v>
      </c>
      <c r="AB107" s="157">
        <f t="shared" si="28"/>
        <v>0.73423240347312024</v>
      </c>
      <c r="AC107" s="157">
        <f t="shared" si="24"/>
        <v>3.8584440418679547E-2</v>
      </c>
      <c r="AD107" s="157">
        <f t="shared" si="25"/>
        <v>2.376459339774557E-2</v>
      </c>
      <c r="AE107" s="157">
        <f t="shared" si="26"/>
        <v>6.2349033816425113E-2</v>
      </c>
      <c r="AF107" s="157"/>
      <c r="AG107" s="157"/>
      <c r="AH107" s="25"/>
      <c r="AI107" s="481"/>
      <c r="AJ107" s="223" t="s">
        <v>536</v>
      </c>
      <c r="AK107" s="224"/>
      <c r="AL107" s="224"/>
    </row>
    <row r="108" spans="1:38" s="90" customFormat="1" x14ac:dyDescent="0.25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128"/>
      <c r="AC108" s="128"/>
      <c r="AD108" s="128"/>
      <c r="AE108" s="128"/>
      <c r="AF108" s="128"/>
      <c r="AG108" s="128"/>
      <c r="AH108" s="33"/>
      <c r="AI108" s="169"/>
      <c r="AJ108" s="209"/>
      <c r="AK108" s="210"/>
      <c r="AL108" s="210"/>
    </row>
    <row r="109" spans="1:38" s="90" customFormat="1" x14ac:dyDescent="0.25">
      <c r="A109" s="162" t="s">
        <v>924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128"/>
      <c r="AC109" s="128"/>
      <c r="AD109" s="128"/>
      <c r="AE109" s="128"/>
      <c r="AF109" s="128"/>
      <c r="AG109" s="128"/>
      <c r="AH109" s="33"/>
      <c r="AI109" s="169"/>
      <c r="AJ109" s="209"/>
      <c r="AK109" s="210"/>
      <c r="AL109" s="210"/>
    </row>
    <row r="110" spans="1:38" s="90" customFormat="1" x14ac:dyDescent="0.25">
      <c r="A110" s="162" t="s">
        <v>85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128"/>
      <c r="AC110" s="128"/>
      <c r="AD110" s="128"/>
      <c r="AE110" s="128"/>
      <c r="AF110" s="128"/>
      <c r="AG110" s="128"/>
      <c r="AH110" s="33"/>
      <c r="AI110" s="169"/>
      <c r="AJ110" s="209"/>
      <c r="AK110" s="210"/>
      <c r="AL110" s="210"/>
    </row>
    <row r="111" spans="1:38" s="90" customFormat="1" x14ac:dyDescent="0.25">
      <c r="A111" s="162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128"/>
      <c r="AC111" s="128"/>
      <c r="AD111" s="128"/>
      <c r="AE111" s="128"/>
      <c r="AF111" s="128"/>
      <c r="AG111" s="128"/>
      <c r="AH111" s="33"/>
      <c r="AI111" s="169"/>
      <c r="AJ111" s="209"/>
      <c r="AK111" s="210"/>
      <c r="AL111" s="210"/>
    </row>
    <row r="112" spans="1:38" s="90" customFormat="1" x14ac:dyDescent="0.25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128"/>
      <c r="AC112" s="128"/>
      <c r="AD112" s="128"/>
      <c r="AE112" s="128"/>
      <c r="AF112" s="128"/>
      <c r="AG112" s="128"/>
      <c r="AH112" s="33"/>
      <c r="AI112" s="169"/>
      <c r="AJ112" s="209"/>
      <c r="AK112" s="210"/>
      <c r="AL112" s="210"/>
    </row>
    <row r="113" spans="1:38" s="90" customFormat="1" x14ac:dyDescent="0.25">
      <c r="A113" s="165" t="s">
        <v>154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66"/>
      <c r="AC113" s="166"/>
      <c r="AD113" s="166"/>
      <c r="AE113" s="166"/>
      <c r="AF113" s="166"/>
      <c r="AG113" s="166"/>
      <c r="AH113" s="1"/>
      <c r="AI113" s="169"/>
      <c r="AJ113" s="15"/>
      <c r="AK113" s="196"/>
      <c r="AL113" s="196"/>
    </row>
    <row r="114" spans="1:38" s="90" customFormat="1" x14ac:dyDescent="0.25">
      <c r="A114" s="177" t="s">
        <v>155</v>
      </c>
      <c r="B114" s="34">
        <v>19.260000000000002</v>
      </c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278">
        <v>5.53</v>
      </c>
      <c r="Q114" s="34"/>
      <c r="R114" s="34">
        <v>0.37</v>
      </c>
      <c r="S114" s="34"/>
      <c r="T114" s="34"/>
      <c r="U114" s="34">
        <v>1.96</v>
      </c>
      <c r="V114" s="34"/>
      <c r="W114" s="34"/>
      <c r="X114" s="34"/>
      <c r="Y114" s="34"/>
      <c r="Z114" s="34"/>
      <c r="AA114" s="21">
        <f t="shared" ref="AA114:AA130" si="31">B114-(SUM(C114:Z114))</f>
        <v>11.400000000000002</v>
      </c>
      <c r="AB114" s="114">
        <f t="shared" ref="AB114:AB130" si="32">AA114/B114</f>
        <v>0.59190031152647982</v>
      </c>
      <c r="AC114" s="133">
        <f>T114/U114</f>
        <v>0</v>
      </c>
      <c r="AD114" s="133">
        <f>U114/AA114</f>
        <v>0.17192982456140346</v>
      </c>
      <c r="AE114" s="133">
        <f t="shared" ref="AE114:AE130" si="33">(T114+U114)/AA114</f>
        <v>0.17192982456140346</v>
      </c>
      <c r="AF114" s="133">
        <v>3.9699999999999999E-2</v>
      </c>
      <c r="AG114" s="133">
        <f>AD114-AF114</f>
        <v>0.13222982456140348</v>
      </c>
      <c r="AH114" s="35">
        <f t="shared" ref="AH114:AH119" si="34">U114-(AA114*AF114)</f>
        <v>1.5074199999999998</v>
      </c>
      <c r="AI114" s="169"/>
      <c r="AJ114" s="15"/>
      <c r="AK114" s="196"/>
      <c r="AL114" s="196" t="s">
        <v>895</v>
      </c>
    </row>
    <row r="115" spans="1:38" s="154" customFormat="1" x14ac:dyDescent="0.25">
      <c r="A115" s="170" t="s">
        <v>156</v>
      </c>
      <c r="B115" s="43">
        <v>10.36</v>
      </c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278">
        <v>3.12</v>
      </c>
      <c r="Q115" s="43">
        <v>1.06</v>
      </c>
      <c r="R115" s="43">
        <v>0.56999999999999995</v>
      </c>
      <c r="S115" s="43"/>
      <c r="T115" s="43"/>
      <c r="U115" s="43">
        <v>0.64</v>
      </c>
      <c r="V115" s="43"/>
      <c r="W115" s="43"/>
      <c r="X115" s="43"/>
      <c r="Y115" s="43"/>
      <c r="Z115" s="43"/>
      <c r="AA115" s="22">
        <f t="shared" si="31"/>
        <v>4.97</v>
      </c>
      <c r="AB115" s="153">
        <f t="shared" si="32"/>
        <v>0.47972972972972971</v>
      </c>
      <c r="AC115" s="153">
        <f t="shared" ref="AC115:AC130" si="35">T115/U115</f>
        <v>0</v>
      </c>
      <c r="AD115" s="153">
        <f t="shared" ref="AD115:AD130" si="36">U115/AA115</f>
        <v>0.12877263581488935</v>
      </c>
      <c r="AE115" s="153">
        <f t="shared" si="33"/>
        <v>0.12877263581488935</v>
      </c>
      <c r="AF115" s="153">
        <v>3.9699999999999999E-2</v>
      </c>
      <c r="AG115" s="153">
        <f t="shared" ref="AG115:AG119" si="37">AD115-AF115</f>
        <v>8.9072635814889348E-2</v>
      </c>
      <c r="AH115" s="22">
        <f t="shared" si="34"/>
        <v>0.44269100000000006</v>
      </c>
      <c r="AI115" s="169"/>
      <c r="AJ115" s="184"/>
      <c r="AK115" s="207"/>
      <c r="AL115" s="207" t="s">
        <v>896</v>
      </c>
    </row>
    <row r="116" spans="1:38" s="90" customFormat="1" x14ac:dyDescent="0.25">
      <c r="A116" s="177" t="s">
        <v>157</v>
      </c>
      <c r="B116" s="34">
        <v>29.27</v>
      </c>
      <c r="C116" s="34"/>
      <c r="D116" s="34">
        <v>0.17</v>
      </c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278">
        <v>1.86</v>
      </c>
      <c r="Q116" s="34"/>
      <c r="R116" s="34">
        <v>0.31</v>
      </c>
      <c r="S116" s="34"/>
      <c r="T116" s="34"/>
      <c r="U116" s="34">
        <v>1.61</v>
      </c>
      <c r="V116" s="34"/>
      <c r="W116" s="34"/>
      <c r="X116" s="34"/>
      <c r="Y116" s="34"/>
      <c r="Z116" s="34"/>
      <c r="AA116" s="21">
        <f t="shared" si="31"/>
        <v>25.32</v>
      </c>
      <c r="AB116" s="114">
        <f t="shared" si="32"/>
        <v>0.86504953877690471</v>
      </c>
      <c r="AC116" s="133">
        <f t="shared" si="35"/>
        <v>0</v>
      </c>
      <c r="AD116" s="133">
        <f t="shared" si="36"/>
        <v>6.3586097946287529E-2</v>
      </c>
      <c r="AE116" s="133">
        <f t="shared" si="33"/>
        <v>6.3586097946287529E-2</v>
      </c>
      <c r="AF116" s="133">
        <v>3.9699999999999999E-2</v>
      </c>
      <c r="AG116" s="133">
        <f t="shared" si="37"/>
        <v>2.3886097946287529E-2</v>
      </c>
      <c r="AH116" s="35">
        <f t="shared" si="34"/>
        <v>0.60479600000000011</v>
      </c>
      <c r="AI116" s="169"/>
      <c r="AJ116" s="15"/>
      <c r="AK116" s="196"/>
      <c r="AL116" s="196" t="s">
        <v>897</v>
      </c>
    </row>
    <row r="117" spans="1:38" s="154" customFormat="1" x14ac:dyDescent="0.25">
      <c r="A117" s="170" t="s">
        <v>158</v>
      </c>
      <c r="B117" s="43">
        <v>7.0000000000000007E-2</v>
      </c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>
        <v>7.0000000000000007E-2</v>
      </c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22">
        <f t="shared" si="31"/>
        <v>0</v>
      </c>
      <c r="AB117" s="153">
        <f t="shared" si="32"/>
        <v>0</v>
      </c>
      <c r="AC117" s="153">
        <v>0</v>
      </c>
      <c r="AD117" s="153">
        <v>0</v>
      </c>
      <c r="AE117" s="153">
        <v>0</v>
      </c>
      <c r="AF117" s="153">
        <v>3.9699999999999999E-2</v>
      </c>
      <c r="AG117" s="153">
        <f t="shared" si="37"/>
        <v>-3.9699999999999999E-2</v>
      </c>
      <c r="AH117" s="22">
        <f t="shared" si="34"/>
        <v>0</v>
      </c>
      <c r="AI117" s="169"/>
      <c r="AJ117" s="184"/>
      <c r="AK117" s="207"/>
      <c r="AL117" s="207"/>
    </row>
    <row r="118" spans="1:38" s="90" customFormat="1" x14ac:dyDescent="0.25">
      <c r="A118" s="177" t="s">
        <v>159</v>
      </c>
      <c r="B118" s="34">
        <v>6.31</v>
      </c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278">
        <v>3.42</v>
      </c>
      <c r="Q118" s="34"/>
      <c r="R118" s="34"/>
      <c r="S118" s="34"/>
      <c r="T118" s="34"/>
      <c r="U118" s="34">
        <v>0.12</v>
      </c>
      <c r="V118" s="34"/>
      <c r="W118" s="34"/>
      <c r="X118" s="34"/>
      <c r="Y118" s="34"/>
      <c r="Z118" s="34"/>
      <c r="AA118" s="21">
        <f t="shared" si="31"/>
        <v>2.7699999999999996</v>
      </c>
      <c r="AB118" s="114">
        <f t="shared" si="32"/>
        <v>0.43898573692551501</v>
      </c>
      <c r="AC118" s="133">
        <f t="shared" si="35"/>
        <v>0</v>
      </c>
      <c r="AD118" s="133">
        <f t="shared" si="36"/>
        <v>4.3321299638989175E-2</v>
      </c>
      <c r="AE118" s="133">
        <f t="shared" si="33"/>
        <v>4.3321299638989175E-2</v>
      </c>
      <c r="AF118" s="133">
        <v>3.9699999999999999E-2</v>
      </c>
      <c r="AG118" s="133">
        <f t="shared" si="37"/>
        <v>3.6212996389891755E-3</v>
      </c>
      <c r="AH118" s="35">
        <f t="shared" si="34"/>
        <v>1.0031000000000012E-2</v>
      </c>
      <c r="AI118" s="169"/>
      <c r="AJ118" s="15"/>
      <c r="AK118" s="196"/>
      <c r="AL118" s="196" t="s">
        <v>898</v>
      </c>
    </row>
    <row r="119" spans="1:38" s="154" customFormat="1" x14ac:dyDescent="0.25">
      <c r="A119" s="170" t="s">
        <v>160</v>
      </c>
      <c r="B119" s="43">
        <v>6.53</v>
      </c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278">
        <v>1.81</v>
      </c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22">
        <f t="shared" si="31"/>
        <v>4.7200000000000006</v>
      </c>
      <c r="AB119" s="153">
        <f t="shared" si="32"/>
        <v>0.72281776416539056</v>
      </c>
      <c r="AC119" s="153">
        <v>0</v>
      </c>
      <c r="AD119" s="153">
        <f t="shared" si="36"/>
        <v>0</v>
      </c>
      <c r="AE119" s="153">
        <f t="shared" si="33"/>
        <v>0</v>
      </c>
      <c r="AF119" s="153">
        <v>3.9699999999999999E-2</v>
      </c>
      <c r="AG119" s="153">
        <f t="shared" si="37"/>
        <v>-3.9699999999999999E-2</v>
      </c>
      <c r="AH119" s="22">
        <f t="shared" si="34"/>
        <v>-0.18738400000000002</v>
      </c>
      <c r="AI119" s="169"/>
      <c r="AJ119" s="184"/>
      <c r="AK119" s="207"/>
      <c r="AL119" s="207" t="s">
        <v>899</v>
      </c>
    </row>
    <row r="120" spans="1:38" s="90" customFormat="1" x14ac:dyDescent="0.25">
      <c r="A120" s="177" t="s">
        <v>161</v>
      </c>
      <c r="B120" s="34">
        <v>4.92</v>
      </c>
      <c r="C120" s="34"/>
      <c r="D120" s="34">
        <v>0.04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21">
        <f t="shared" si="31"/>
        <v>4.88</v>
      </c>
      <c r="AB120" s="114">
        <f t="shared" si="32"/>
        <v>0.99186991869918695</v>
      </c>
      <c r="AC120" s="133">
        <v>0</v>
      </c>
      <c r="AD120" s="133">
        <f t="shared" si="36"/>
        <v>0</v>
      </c>
      <c r="AE120" s="133">
        <f t="shared" si="33"/>
        <v>0</v>
      </c>
      <c r="AF120" s="133">
        <v>3.9699999999999999E-2</v>
      </c>
      <c r="AG120" s="133"/>
      <c r="AH120" s="35"/>
      <c r="AI120" s="169"/>
      <c r="AJ120" s="15"/>
      <c r="AK120" s="196"/>
      <c r="AL120" s="196"/>
    </row>
    <row r="121" spans="1:38" s="154" customFormat="1" x14ac:dyDescent="0.25">
      <c r="A121" s="170" t="s">
        <v>162</v>
      </c>
      <c r="B121" s="43">
        <v>4.9000000000000004</v>
      </c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22">
        <f t="shared" si="31"/>
        <v>4.9000000000000004</v>
      </c>
      <c r="AB121" s="153">
        <f t="shared" si="32"/>
        <v>1</v>
      </c>
      <c r="AC121" s="153">
        <v>0</v>
      </c>
      <c r="AD121" s="153">
        <f t="shared" si="36"/>
        <v>0</v>
      </c>
      <c r="AE121" s="153">
        <f t="shared" si="33"/>
        <v>0</v>
      </c>
      <c r="AF121" s="153">
        <v>3.9699999999999999E-2</v>
      </c>
      <c r="AG121" s="153"/>
      <c r="AH121" s="22"/>
      <c r="AI121" s="169"/>
      <c r="AJ121" s="184"/>
      <c r="AK121" s="207"/>
      <c r="AL121" s="207"/>
    </row>
    <row r="122" spans="1:38" s="90" customFormat="1" x14ac:dyDescent="0.25">
      <c r="A122" s="177" t="s">
        <v>163</v>
      </c>
      <c r="B122" s="34">
        <v>2.78</v>
      </c>
      <c r="C122" s="34">
        <v>0.3</v>
      </c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21">
        <f t="shared" si="31"/>
        <v>2.48</v>
      </c>
      <c r="AB122" s="114">
        <f t="shared" si="32"/>
        <v>0.8920863309352518</v>
      </c>
      <c r="AC122" s="133">
        <v>0</v>
      </c>
      <c r="AD122" s="133">
        <f t="shared" si="36"/>
        <v>0</v>
      </c>
      <c r="AE122" s="133">
        <f t="shared" si="33"/>
        <v>0</v>
      </c>
      <c r="AF122" s="133">
        <v>3.9699999999999999E-2</v>
      </c>
      <c r="AG122" s="133"/>
      <c r="AH122" s="35"/>
      <c r="AI122" s="169"/>
      <c r="AJ122" s="15"/>
      <c r="AK122" s="196"/>
      <c r="AL122" s="196"/>
    </row>
    <row r="123" spans="1:38" s="154" customFormat="1" x14ac:dyDescent="0.25">
      <c r="A123" s="170" t="s">
        <v>164</v>
      </c>
      <c r="B123" s="43">
        <v>2.82</v>
      </c>
      <c r="C123" s="43">
        <v>0.26</v>
      </c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22">
        <f t="shared" si="31"/>
        <v>2.5599999999999996</v>
      </c>
      <c r="AB123" s="153">
        <f t="shared" si="32"/>
        <v>0.90780141843971618</v>
      </c>
      <c r="AC123" s="153">
        <v>0</v>
      </c>
      <c r="AD123" s="153">
        <f t="shared" si="36"/>
        <v>0</v>
      </c>
      <c r="AE123" s="153">
        <f t="shared" si="33"/>
        <v>0</v>
      </c>
      <c r="AF123" s="153">
        <v>3.9699999999999999E-2</v>
      </c>
      <c r="AG123" s="153"/>
      <c r="AH123" s="22"/>
      <c r="AI123" s="169"/>
      <c r="AJ123" s="184"/>
      <c r="AK123" s="207"/>
      <c r="AL123" s="207"/>
    </row>
    <row r="124" spans="1:38" s="90" customFormat="1" x14ac:dyDescent="0.25">
      <c r="A124" s="177" t="s">
        <v>165</v>
      </c>
      <c r="B124" s="34">
        <v>8.0500000000000007</v>
      </c>
      <c r="C124" s="34"/>
      <c r="D124" s="34"/>
      <c r="E124" s="34"/>
      <c r="F124" s="34">
        <v>8.0500000000000007</v>
      </c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21">
        <f t="shared" si="31"/>
        <v>0</v>
      </c>
      <c r="AB124" s="114">
        <f t="shared" si="32"/>
        <v>0</v>
      </c>
      <c r="AC124" s="133">
        <v>0</v>
      </c>
      <c r="AD124" s="133">
        <v>0</v>
      </c>
      <c r="AE124" s="133">
        <v>0</v>
      </c>
      <c r="AF124" s="133">
        <v>3.9699999999999999E-2</v>
      </c>
      <c r="AG124" s="133">
        <f>AD124-AF124</f>
        <v>-3.9699999999999999E-2</v>
      </c>
      <c r="AH124" s="35">
        <f t="shared" ref="AH124:AH127" si="38">U124-(AA124*AF124)</f>
        <v>0</v>
      </c>
      <c r="AI124" s="169"/>
      <c r="AJ124" s="15"/>
      <c r="AK124" s="196"/>
      <c r="AL124" s="196"/>
    </row>
    <row r="125" spans="1:38" s="154" customFormat="1" ht="22.5" x14ac:dyDescent="0.25">
      <c r="A125" s="170" t="s">
        <v>704</v>
      </c>
      <c r="B125" s="43">
        <f>1.1+10.55</f>
        <v>11.65</v>
      </c>
      <c r="C125" s="43">
        <v>0.61</v>
      </c>
      <c r="D125" s="43">
        <v>0.09</v>
      </c>
      <c r="E125" s="43">
        <v>1</v>
      </c>
      <c r="F125" s="43"/>
      <c r="G125" s="43"/>
      <c r="H125" s="43"/>
      <c r="I125" s="43">
        <v>2</v>
      </c>
      <c r="J125" s="43">
        <v>1</v>
      </c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22">
        <f t="shared" si="31"/>
        <v>6.95</v>
      </c>
      <c r="AB125" s="153">
        <f t="shared" si="32"/>
        <v>0.59656652360515017</v>
      </c>
      <c r="AC125" s="153">
        <v>0</v>
      </c>
      <c r="AD125" s="153">
        <f t="shared" si="36"/>
        <v>0</v>
      </c>
      <c r="AE125" s="153">
        <f t="shared" si="33"/>
        <v>0</v>
      </c>
      <c r="AF125" s="153">
        <v>3.9699999999999999E-2</v>
      </c>
      <c r="AG125" s="153">
        <f t="shared" ref="AG125:AG127" si="39">AD125-AF125</f>
        <v>-3.9699999999999999E-2</v>
      </c>
      <c r="AH125" s="22">
        <f t="shared" si="38"/>
        <v>-0.27591500000000002</v>
      </c>
      <c r="AI125" s="169"/>
      <c r="AJ125" s="184"/>
      <c r="AK125" s="207" t="s">
        <v>712</v>
      </c>
      <c r="AL125" s="207"/>
    </row>
    <row r="126" spans="1:38" s="95" customFormat="1" x14ac:dyDescent="0.25">
      <c r="A126" s="167" t="s">
        <v>166</v>
      </c>
      <c r="B126" s="45">
        <v>14.51</v>
      </c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37">
        <f t="shared" si="31"/>
        <v>14.51</v>
      </c>
      <c r="AB126" s="134">
        <f t="shared" si="32"/>
        <v>1</v>
      </c>
      <c r="AC126" s="134">
        <v>0</v>
      </c>
      <c r="AD126" s="134">
        <f t="shared" si="36"/>
        <v>0</v>
      </c>
      <c r="AE126" s="134">
        <f t="shared" si="33"/>
        <v>0</v>
      </c>
      <c r="AF126" s="134">
        <v>3.9699999999999999E-2</v>
      </c>
      <c r="AG126" s="134">
        <f t="shared" si="39"/>
        <v>-3.9699999999999999E-2</v>
      </c>
      <c r="AH126" s="37">
        <f t="shared" si="38"/>
        <v>-0.57604699999999998</v>
      </c>
      <c r="AI126" s="169"/>
      <c r="AJ126" s="16"/>
      <c r="AK126" s="208"/>
      <c r="AL126" s="208"/>
    </row>
    <row r="127" spans="1:38" s="90" customFormat="1" ht="22.5" x14ac:dyDescent="0.25">
      <c r="A127" s="178" t="s">
        <v>14</v>
      </c>
      <c r="B127" s="38">
        <f t="shared" ref="B127:Z127" si="40">SUM(B114:B126)</f>
        <v>121.43</v>
      </c>
      <c r="C127" s="38">
        <f t="shared" si="40"/>
        <v>1.17</v>
      </c>
      <c r="D127" s="38">
        <f t="shared" si="40"/>
        <v>0.30000000000000004</v>
      </c>
      <c r="E127" s="38">
        <f t="shared" si="40"/>
        <v>1</v>
      </c>
      <c r="F127" s="38">
        <f t="shared" si="40"/>
        <v>8.0500000000000007</v>
      </c>
      <c r="G127" s="38">
        <f t="shared" si="40"/>
        <v>0</v>
      </c>
      <c r="H127" s="38">
        <f t="shared" si="40"/>
        <v>0</v>
      </c>
      <c r="I127" s="38">
        <f t="shared" si="40"/>
        <v>2</v>
      </c>
      <c r="J127" s="38">
        <f t="shared" si="40"/>
        <v>1</v>
      </c>
      <c r="K127" s="38">
        <f t="shared" si="40"/>
        <v>0</v>
      </c>
      <c r="L127" s="38">
        <f t="shared" si="40"/>
        <v>0</v>
      </c>
      <c r="M127" s="38">
        <f t="shared" si="40"/>
        <v>0</v>
      </c>
      <c r="N127" s="38">
        <f t="shared" si="40"/>
        <v>0</v>
      </c>
      <c r="O127" s="38">
        <f t="shared" si="40"/>
        <v>0</v>
      </c>
      <c r="P127" s="38">
        <f t="shared" si="40"/>
        <v>15.81</v>
      </c>
      <c r="Q127" s="38">
        <f t="shared" si="40"/>
        <v>1.06</v>
      </c>
      <c r="R127" s="38">
        <f t="shared" si="40"/>
        <v>1.25</v>
      </c>
      <c r="S127" s="38">
        <f t="shared" si="40"/>
        <v>0</v>
      </c>
      <c r="T127" s="38">
        <f t="shared" si="40"/>
        <v>0</v>
      </c>
      <c r="U127" s="38">
        <f t="shared" si="40"/>
        <v>4.33</v>
      </c>
      <c r="V127" s="38">
        <f t="shared" si="40"/>
        <v>0</v>
      </c>
      <c r="W127" s="38">
        <f t="shared" si="40"/>
        <v>0</v>
      </c>
      <c r="X127" s="38">
        <f t="shared" si="40"/>
        <v>0</v>
      </c>
      <c r="Y127" s="38">
        <f t="shared" si="40"/>
        <v>0</v>
      </c>
      <c r="Z127" s="38">
        <f t="shared" si="40"/>
        <v>0</v>
      </c>
      <c r="AA127" s="23">
        <f t="shared" si="31"/>
        <v>85.460000000000008</v>
      </c>
      <c r="AB127" s="123">
        <f t="shared" si="32"/>
        <v>0.703779955529935</v>
      </c>
      <c r="AC127" s="118">
        <f>T127/AA127</f>
        <v>0</v>
      </c>
      <c r="AD127" s="118">
        <f t="shared" si="36"/>
        <v>5.0666978703487006E-2</v>
      </c>
      <c r="AE127" s="118">
        <f t="shared" si="33"/>
        <v>5.0666978703487006E-2</v>
      </c>
      <c r="AF127" s="118">
        <v>3.9699999999999999E-2</v>
      </c>
      <c r="AG127" s="118">
        <f t="shared" si="39"/>
        <v>1.0966978703487007E-2</v>
      </c>
      <c r="AH127" s="23">
        <f t="shared" si="38"/>
        <v>0.93723799999999979</v>
      </c>
      <c r="AI127" s="169"/>
      <c r="AJ127" s="214" t="s">
        <v>646</v>
      </c>
      <c r="AK127" s="214"/>
      <c r="AL127" s="214"/>
    </row>
    <row r="128" spans="1:38" s="90" customFormat="1" x14ac:dyDescent="0.25">
      <c r="A128" s="177" t="s">
        <v>83</v>
      </c>
      <c r="B128" s="34">
        <v>10.039999999999999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  <c r="Z128" s="34">
        <v>10.039999999999999</v>
      </c>
      <c r="AA128" s="21">
        <f t="shared" si="31"/>
        <v>0</v>
      </c>
      <c r="AB128" s="114">
        <f t="shared" si="32"/>
        <v>0</v>
      </c>
      <c r="AC128" s="133">
        <v>0</v>
      </c>
      <c r="AD128" s="133">
        <v>0</v>
      </c>
      <c r="AE128" s="133">
        <v>0</v>
      </c>
      <c r="AF128" s="133"/>
      <c r="AG128" s="133"/>
      <c r="AH128" s="37">
        <v>0</v>
      </c>
      <c r="AI128" s="169"/>
      <c r="AJ128" s="15"/>
      <c r="AK128" s="196"/>
      <c r="AL128" s="196"/>
    </row>
    <row r="129" spans="1:38" s="90" customFormat="1" x14ac:dyDescent="0.25">
      <c r="A129" s="178" t="s">
        <v>14</v>
      </c>
      <c r="B129" s="38">
        <v>10.039999999999999</v>
      </c>
      <c r="C129" s="38">
        <v>0</v>
      </c>
      <c r="D129" s="40">
        <v>0</v>
      </c>
      <c r="E129" s="40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  <c r="P129" s="38">
        <v>0</v>
      </c>
      <c r="Q129" s="38">
        <v>0</v>
      </c>
      <c r="R129" s="38">
        <v>0</v>
      </c>
      <c r="S129" s="38">
        <v>0</v>
      </c>
      <c r="T129" s="38">
        <v>0</v>
      </c>
      <c r="U129" s="38">
        <v>0</v>
      </c>
      <c r="V129" s="38">
        <v>0</v>
      </c>
      <c r="W129" s="38">
        <v>0</v>
      </c>
      <c r="X129" s="38">
        <v>0</v>
      </c>
      <c r="Y129" s="38">
        <v>0</v>
      </c>
      <c r="Z129" s="38">
        <v>10.039999999999999</v>
      </c>
      <c r="AA129" s="23">
        <f t="shared" si="31"/>
        <v>0</v>
      </c>
      <c r="AB129" s="118">
        <f t="shared" si="32"/>
        <v>0</v>
      </c>
      <c r="AC129" s="118">
        <v>0</v>
      </c>
      <c r="AD129" s="118">
        <v>0</v>
      </c>
      <c r="AE129" s="118">
        <v>0</v>
      </c>
      <c r="AF129" s="118"/>
      <c r="AG129" s="118"/>
      <c r="AH129" s="23">
        <v>0</v>
      </c>
      <c r="AI129" s="169"/>
      <c r="AJ129" s="216"/>
      <c r="AK129" s="217"/>
      <c r="AL129" s="217"/>
    </row>
    <row r="130" spans="1:38" s="90" customFormat="1" x14ac:dyDescent="0.25">
      <c r="A130" s="156" t="s">
        <v>167</v>
      </c>
      <c r="B130" s="25">
        <f>B127+B129</f>
        <v>131.47</v>
      </c>
      <c r="C130" s="25">
        <f t="shared" ref="C130:Z130" si="41">C127+C129</f>
        <v>1.17</v>
      </c>
      <c r="D130" s="25">
        <f t="shared" si="41"/>
        <v>0.30000000000000004</v>
      </c>
      <c r="E130" s="25">
        <f t="shared" si="41"/>
        <v>1</v>
      </c>
      <c r="F130" s="25">
        <f t="shared" si="41"/>
        <v>8.0500000000000007</v>
      </c>
      <c r="G130" s="25">
        <f t="shared" si="41"/>
        <v>0</v>
      </c>
      <c r="H130" s="25">
        <f t="shared" si="41"/>
        <v>0</v>
      </c>
      <c r="I130" s="25">
        <f t="shared" si="41"/>
        <v>2</v>
      </c>
      <c r="J130" s="25">
        <f t="shared" si="41"/>
        <v>1</v>
      </c>
      <c r="K130" s="25">
        <f t="shared" si="41"/>
        <v>0</v>
      </c>
      <c r="L130" s="25">
        <f t="shared" si="41"/>
        <v>0</v>
      </c>
      <c r="M130" s="25">
        <f t="shared" si="41"/>
        <v>0</v>
      </c>
      <c r="N130" s="25">
        <f t="shared" si="41"/>
        <v>0</v>
      </c>
      <c r="O130" s="25">
        <f t="shared" si="41"/>
        <v>0</v>
      </c>
      <c r="P130" s="25">
        <f t="shared" si="41"/>
        <v>15.81</v>
      </c>
      <c r="Q130" s="25">
        <f t="shared" si="41"/>
        <v>1.06</v>
      </c>
      <c r="R130" s="25">
        <f t="shared" si="41"/>
        <v>1.25</v>
      </c>
      <c r="S130" s="25">
        <f t="shared" si="41"/>
        <v>0</v>
      </c>
      <c r="T130" s="25">
        <f t="shared" si="41"/>
        <v>0</v>
      </c>
      <c r="U130" s="25">
        <f t="shared" si="41"/>
        <v>4.33</v>
      </c>
      <c r="V130" s="25">
        <f t="shared" si="41"/>
        <v>0</v>
      </c>
      <c r="W130" s="25">
        <f t="shared" si="41"/>
        <v>0</v>
      </c>
      <c r="X130" s="25">
        <f t="shared" si="41"/>
        <v>0</v>
      </c>
      <c r="Y130" s="25">
        <f t="shared" si="41"/>
        <v>0</v>
      </c>
      <c r="Z130" s="25">
        <f t="shared" si="41"/>
        <v>10.039999999999999</v>
      </c>
      <c r="AA130" s="41">
        <f t="shared" si="31"/>
        <v>85.460000000000008</v>
      </c>
      <c r="AB130" s="179">
        <f t="shared" si="32"/>
        <v>0.6500342283410665</v>
      </c>
      <c r="AC130" s="179">
        <f t="shared" si="35"/>
        <v>0</v>
      </c>
      <c r="AD130" s="179">
        <f t="shared" si="36"/>
        <v>5.0666978703487006E-2</v>
      </c>
      <c r="AE130" s="179">
        <f t="shared" si="33"/>
        <v>5.0666978703487006E-2</v>
      </c>
      <c r="AF130" s="180"/>
      <c r="AG130" s="180"/>
      <c r="AH130" s="181"/>
      <c r="AI130" s="169"/>
      <c r="AJ130" s="218"/>
      <c r="AK130" s="219"/>
      <c r="AL130" s="219"/>
    </row>
    <row r="131" spans="1:38" s="90" customFormat="1" x14ac:dyDescent="0.25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128"/>
      <c r="AC131" s="128"/>
      <c r="AD131" s="128"/>
      <c r="AE131" s="128"/>
      <c r="AF131" s="128"/>
      <c r="AG131" s="128"/>
      <c r="AH131" s="33"/>
      <c r="AI131" s="169"/>
      <c r="AJ131" s="209"/>
      <c r="AK131" s="210"/>
      <c r="AL131" s="210"/>
    </row>
    <row r="132" spans="1:38" s="90" customFormat="1" x14ac:dyDescent="0.25">
      <c r="A132" s="162" t="s">
        <v>924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128"/>
      <c r="AC132" s="128"/>
      <c r="AD132" s="128"/>
      <c r="AE132" s="128"/>
      <c r="AF132" s="128"/>
      <c r="AG132" s="128"/>
      <c r="AH132" s="33"/>
      <c r="AI132" s="169"/>
      <c r="AJ132" s="209"/>
      <c r="AK132" s="210"/>
      <c r="AL132" s="210"/>
    </row>
    <row r="133" spans="1:38" s="90" customFormat="1" x14ac:dyDescent="0.25">
      <c r="A133" s="162" t="s">
        <v>85</v>
      </c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128"/>
      <c r="AC133" s="128"/>
      <c r="AD133" s="128"/>
      <c r="AE133" s="128"/>
      <c r="AF133" s="128"/>
      <c r="AG133" s="128"/>
      <c r="AH133" s="33"/>
      <c r="AI133" s="169"/>
      <c r="AJ133" s="209"/>
      <c r="AK133" s="210"/>
      <c r="AL133" s="210"/>
    </row>
    <row r="134" spans="1:38" s="90" customFormat="1" x14ac:dyDescent="0.25">
      <c r="A134" s="162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128"/>
      <c r="AC134" s="128"/>
      <c r="AD134" s="128"/>
      <c r="AE134" s="128"/>
      <c r="AF134" s="128"/>
      <c r="AG134" s="128"/>
      <c r="AH134" s="33"/>
      <c r="AI134" s="169"/>
      <c r="AJ134" s="209"/>
      <c r="AK134" s="210"/>
      <c r="AL134" s="210"/>
    </row>
    <row r="135" spans="1:38" s="90" customFormat="1" x14ac:dyDescent="0.25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128"/>
      <c r="AC135" s="128"/>
      <c r="AD135" s="128"/>
      <c r="AE135" s="128"/>
      <c r="AF135" s="128"/>
      <c r="AG135" s="128"/>
      <c r="AH135" s="33"/>
      <c r="AI135" s="169"/>
      <c r="AJ135" s="209"/>
      <c r="AK135" s="210"/>
      <c r="AL135" s="210"/>
    </row>
    <row r="136" spans="1:38" s="90" customFormat="1" x14ac:dyDescent="0.25">
      <c r="A136" s="165" t="s">
        <v>168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66"/>
      <c r="AC136" s="166"/>
      <c r="AD136" s="166"/>
      <c r="AE136" s="166"/>
      <c r="AF136" s="166"/>
      <c r="AG136" s="166"/>
      <c r="AH136" s="1"/>
      <c r="AI136" s="169"/>
      <c r="AJ136" s="15"/>
      <c r="AK136" s="196"/>
      <c r="AL136" s="196"/>
    </row>
    <row r="137" spans="1:38" s="90" customFormat="1" x14ac:dyDescent="0.25">
      <c r="A137" s="182" t="s">
        <v>169</v>
      </c>
      <c r="B137" s="35">
        <v>45.8</v>
      </c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183"/>
      <c r="P137" s="279"/>
      <c r="Q137" s="35"/>
      <c r="R137" s="35">
        <v>0.57999999999999996</v>
      </c>
      <c r="S137" s="35">
        <v>17.43</v>
      </c>
      <c r="T137" s="35"/>
      <c r="U137" s="35"/>
      <c r="V137" s="35"/>
      <c r="W137" s="35"/>
      <c r="X137" s="35"/>
      <c r="Y137" s="35"/>
      <c r="Z137" s="35"/>
      <c r="AA137" s="21">
        <f t="shared" ref="AA137:AA178" si="42">B137-(SUM(C137:Z137))</f>
        <v>27.79</v>
      </c>
      <c r="AB137" s="114">
        <f t="shared" ref="AB137:AB180" si="43">AA137/B137</f>
        <v>0.60676855895196513</v>
      </c>
      <c r="AC137" s="133"/>
      <c r="AD137" s="133"/>
      <c r="AE137" s="133"/>
      <c r="AF137" s="133"/>
      <c r="AG137" s="133"/>
      <c r="AH137" s="35"/>
      <c r="AI137" s="169"/>
      <c r="AJ137" s="15"/>
      <c r="AK137" s="196"/>
      <c r="AL137" s="196" t="s">
        <v>900</v>
      </c>
    </row>
    <row r="138" spans="1:38" s="154" customFormat="1" x14ac:dyDescent="0.25">
      <c r="A138" s="152" t="s">
        <v>170</v>
      </c>
      <c r="B138" s="22">
        <v>17.45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184"/>
      <c r="P138" s="279">
        <v>1.65</v>
      </c>
      <c r="Q138" s="22"/>
      <c r="R138" s="22">
        <v>0.48</v>
      </c>
      <c r="S138" s="22">
        <v>4.3899999999999997</v>
      </c>
      <c r="T138" s="22"/>
      <c r="U138" s="22"/>
      <c r="V138" s="22"/>
      <c r="W138" s="22"/>
      <c r="X138" s="22"/>
      <c r="Y138" s="22"/>
      <c r="Z138" s="22"/>
      <c r="AA138" s="22">
        <f t="shared" si="42"/>
        <v>10.93</v>
      </c>
      <c r="AB138" s="153">
        <f t="shared" si="43"/>
        <v>0.62636103151862466</v>
      </c>
      <c r="AC138" s="153"/>
      <c r="AD138" s="153"/>
      <c r="AE138" s="153"/>
      <c r="AF138" s="153"/>
      <c r="AG138" s="153"/>
      <c r="AH138" s="22"/>
      <c r="AI138" s="169"/>
      <c r="AJ138" s="184"/>
      <c r="AK138" s="207"/>
      <c r="AL138" s="207" t="s">
        <v>901</v>
      </c>
    </row>
    <row r="139" spans="1:38" s="90" customFormat="1" x14ac:dyDescent="0.25">
      <c r="A139" s="182" t="s">
        <v>171</v>
      </c>
      <c r="B139" s="35">
        <v>0.01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183"/>
      <c r="P139" s="183">
        <v>0.01</v>
      </c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21">
        <f t="shared" si="42"/>
        <v>0</v>
      </c>
      <c r="AB139" s="114">
        <f t="shared" si="43"/>
        <v>0</v>
      </c>
      <c r="AC139" s="133"/>
      <c r="AD139" s="133"/>
      <c r="AE139" s="133"/>
      <c r="AF139" s="133"/>
      <c r="AG139" s="133"/>
      <c r="AH139" s="35"/>
      <c r="AI139" s="169"/>
      <c r="AJ139" s="15"/>
      <c r="AK139" s="196"/>
      <c r="AL139" s="196"/>
    </row>
    <row r="140" spans="1:38" s="154" customFormat="1" x14ac:dyDescent="0.25">
      <c r="A140" s="152" t="s">
        <v>172</v>
      </c>
      <c r="B140" s="22">
        <v>0.13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184"/>
      <c r="P140" s="279"/>
      <c r="Q140" s="22"/>
      <c r="R140" s="22">
        <v>0.04</v>
      </c>
      <c r="S140" s="22"/>
      <c r="T140" s="22"/>
      <c r="U140" s="22"/>
      <c r="V140" s="22"/>
      <c r="W140" s="22"/>
      <c r="X140" s="22"/>
      <c r="Y140" s="22"/>
      <c r="Z140" s="22"/>
      <c r="AA140" s="22">
        <f t="shared" si="42"/>
        <v>0.09</v>
      </c>
      <c r="AB140" s="153">
        <f t="shared" si="43"/>
        <v>0.69230769230769229</v>
      </c>
      <c r="AC140" s="153"/>
      <c r="AD140" s="153"/>
      <c r="AE140" s="153"/>
      <c r="AF140" s="153"/>
      <c r="AG140" s="153"/>
      <c r="AH140" s="22"/>
      <c r="AI140" s="169"/>
      <c r="AJ140" s="184"/>
      <c r="AK140" s="207"/>
      <c r="AL140" s="207" t="s">
        <v>902</v>
      </c>
    </row>
    <row r="141" spans="1:38" s="90" customFormat="1" x14ac:dyDescent="0.25">
      <c r="A141" s="182" t="s">
        <v>173</v>
      </c>
      <c r="B141" s="35">
        <v>1.89</v>
      </c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183"/>
      <c r="P141" s="279"/>
      <c r="Q141" s="35"/>
      <c r="R141" s="35">
        <v>0.09</v>
      </c>
      <c r="S141" s="35"/>
      <c r="T141" s="35"/>
      <c r="U141" s="35"/>
      <c r="V141" s="35"/>
      <c r="W141" s="35"/>
      <c r="X141" s="35"/>
      <c r="Y141" s="35"/>
      <c r="Z141" s="35"/>
      <c r="AA141" s="21">
        <f t="shared" si="42"/>
        <v>1.7999999999999998</v>
      </c>
      <c r="AB141" s="114">
        <f t="shared" si="43"/>
        <v>0.95238095238095233</v>
      </c>
      <c r="AC141" s="133"/>
      <c r="AD141" s="133"/>
      <c r="AE141" s="133"/>
      <c r="AF141" s="133"/>
      <c r="AG141" s="133"/>
      <c r="AH141" s="35"/>
      <c r="AI141" s="169"/>
      <c r="AJ141" s="15"/>
      <c r="AK141" s="196"/>
      <c r="AL141" s="196" t="s">
        <v>902</v>
      </c>
    </row>
    <row r="142" spans="1:38" s="154" customFormat="1" x14ac:dyDescent="0.25">
      <c r="A142" s="152" t="s">
        <v>174</v>
      </c>
      <c r="B142" s="22">
        <v>2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184"/>
      <c r="P142" s="184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>
        <f t="shared" si="42"/>
        <v>2</v>
      </c>
      <c r="AB142" s="153">
        <f t="shared" si="43"/>
        <v>1</v>
      </c>
      <c r="AC142" s="153"/>
      <c r="AD142" s="153"/>
      <c r="AE142" s="153"/>
      <c r="AF142" s="153"/>
      <c r="AG142" s="153"/>
      <c r="AH142" s="22"/>
      <c r="AI142" s="169"/>
      <c r="AJ142" s="184"/>
      <c r="AK142" s="207"/>
      <c r="AL142" s="207"/>
    </row>
    <row r="143" spans="1:38" s="90" customFormat="1" x14ac:dyDescent="0.25">
      <c r="A143" s="182" t="s">
        <v>175</v>
      </c>
      <c r="B143" s="35">
        <v>4</v>
      </c>
      <c r="C143" s="35"/>
      <c r="D143" s="35">
        <v>0.03</v>
      </c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183"/>
      <c r="P143" s="279">
        <v>0.92</v>
      </c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21">
        <f t="shared" si="42"/>
        <v>3.05</v>
      </c>
      <c r="AB143" s="114">
        <f t="shared" si="43"/>
        <v>0.76249999999999996</v>
      </c>
      <c r="AC143" s="133"/>
      <c r="AD143" s="133"/>
      <c r="AE143" s="133"/>
      <c r="AF143" s="133"/>
      <c r="AG143" s="133"/>
      <c r="AH143" s="35"/>
      <c r="AI143" s="169"/>
      <c r="AJ143" s="15"/>
      <c r="AK143" s="196"/>
      <c r="AL143" s="196" t="s">
        <v>903</v>
      </c>
    </row>
    <row r="144" spans="1:38" s="154" customFormat="1" x14ac:dyDescent="0.25">
      <c r="A144" s="152" t="s">
        <v>176</v>
      </c>
      <c r="B144" s="22">
        <v>6.56</v>
      </c>
      <c r="C144" s="22"/>
      <c r="D144" s="22">
        <v>0.01</v>
      </c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184"/>
      <c r="P144" s="184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>
        <f t="shared" si="42"/>
        <v>6.55</v>
      </c>
      <c r="AB144" s="153">
        <f t="shared" si="43"/>
        <v>0.99847560975609762</v>
      </c>
      <c r="AC144" s="153"/>
      <c r="AD144" s="153"/>
      <c r="AE144" s="153"/>
      <c r="AF144" s="153"/>
      <c r="AG144" s="153"/>
      <c r="AH144" s="22"/>
      <c r="AI144" s="169"/>
      <c r="AJ144" s="184"/>
      <c r="AK144" s="207"/>
      <c r="AL144" s="207"/>
    </row>
    <row r="145" spans="1:38" s="90" customFormat="1" x14ac:dyDescent="0.25">
      <c r="A145" s="182" t="s">
        <v>177</v>
      </c>
      <c r="B145" s="35">
        <v>13.23</v>
      </c>
      <c r="C145" s="35"/>
      <c r="D145" s="35">
        <v>0.03</v>
      </c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183"/>
      <c r="P145" s="279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21">
        <f t="shared" si="42"/>
        <v>13.200000000000001</v>
      </c>
      <c r="AB145" s="114">
        <f t="shared" si="43"/>
        <v>0.99773242630385495</v>
      </c>
      <c r="AC145" s="133"/>
      <c r="AD145" s="133"/>
      <c r="AE145" s="133"/>
      <c r="AF145" s="133"/>
      <c r="AG145" s="133"/>
      <c r="AH145" s="35"/>
      <c r="AI145" s="169"/>
      <c r="AJ145" s="15"/>
      <c r="AK145" s="196"/>
      <c r="AL145" s="196" t="s">
        <v>904</v>
      </c>
    </row>
    <row r="146" spans="1:38" s="154" customFormat="1" x14ac:dyDescent="0.25">
      <c r="A146" s="152" t="s">
        <v>178</v>
      </c>
      <c r="B146" s="22">
        <v>2.0099999999999998</v>
      </c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184"/>
      <c r="P146" s="184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>
        <f t="shared" si="42"/>
        <v>2.0099999999999998</v>
      </c>
      <c r="AB146" s="153">
        <f t="shared" si="43"/>
        <v>1</v>
      </c>
      <c r="AC146" s="153"/>
      <c r="AD146" s="153"/>
      <c r="AE146" s="153"/>
      <c r="AF146" s="153"/>
      <c r="AG146" s="153"/>
      <c r="AH146" s="22"/>
      <c r="AI146" s="169"/>
      <c r="AJ146" s="184"/>
      <c r="AK146" s="207"/>
      <c r="AL146" s="207"/>
    </row>
    <row r="147" spans="1:38" s="90" customFormat="1" x14ac:dyDescent="0.25">
      <c r="A147" s="182" t="s">
        <v>179</v>
      </c>
      <c r="B147" s="35">
        <v>10.01</v>
      </c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183"/>
      <c r="P147" s="183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21">
        <f t="shared" si="42"/>
        <v>10.01</v>
      </c>
      <c r="AB147" s="114">
        <f t="shared" si="43"/>
        <v>1</v>
      </c>
      <c r="AC147" s="133"/>
      <c r="AD147" s="133"/>
      <c r="AE147" s="133"/>
      <c r="AF147" s="133"/>
      <c r="AG147" s="133"/>
      <c r="AH147" s="35"/>
      <c r="AI147" s="169"/>
      <c r="AJ147" s="15"/>
      <c r="AK147" s="196"/>
      <c r="AL147" s="196"/>
    </row>
    <row r="148" spans="1:38" s="154" customFormat="1" x14ac:dyDescent="0.25">
      <c r="A148" s="152" t="s">
        <v>180</v>
      </c>
      <c r="B148" s="22">
        <v>12.14</v>
      </c>
      <c r="C148" s="22"/>
      <c r="D148" s="22">
        <v>7.0000000000000007E-2</v>
      </c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184"/>
      <c r="P148" s="279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>
        <f t="shared" si="42"/>
        <v>12.07</v>
      </c>
      <c r="AB148" s="153">
        <f t="shared" si="43"/>
        <v>0.99423393739703458</v>
      </c>
      <c r="AC148" s="153"/>
      <c r="AD148" s="153"/>
      <c r="AE148" s="153"/>
      <c r="AF148" s="153"/>
      <c r="AG148" s="153"/>
      <c r="AH148" s="22"/>
      <c r="AI148" s="169"/>
      <c r="AJ148" s="184"/>
      <c r="AK148" s="207"/>
      <c r="AL148" s="207" t="s">
        <v>905</v>
      </c>
    </row>
    <row r="149" spans="1:38" s="90" customFormat="1" x14ac:dyDescent="0.25">
      <c r="A149" s="182" t="s">
        <v>181</v>
      </c>
      <c r="B149" s="35">
        <v>0.24</v>
      </c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183"/>
      <c r="P149" s="183">
        <v>0.24</v>
      </c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21">
        <f t="shared" si="42"/>
        <v>0</v>
      </c>
      <c r="AB149" s="114">
        <f t="shared" si="43"/>
        <v>0</v>
      </c>
      <c r="AC149" s="133"/>
      <c r="AD149" s="133"/>
      <c r="AE149" s="133"/>
      <c r="AF149" s="133"/>
      <c r="AG149" s="133"/>
      <c r="AH149" s="35"/>
      <c r="AI149" s="169"/>
      <c r="AJ149" s="15"/>
      <c r="AK149" s="196"/>
      <c r="AL149" s="196"/>
    </row>
    <row r="150" spans="1:38" s="154" customFormat="1" x14ac:dyDescent="0.25">
      <c r="A150" s="152" t="s">
        <v>182</v>
      </c>
      <c r="B150" s="22">
        <v>1.55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184"/>
      <c r="P150" s="279">
        <v>1.1599999999999999</v>
      </c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>
        <f t="shared" si="42"/>
        <v>0.39000000000000012</v>
      </c>
      <c r="AB150" s="153">
        <f t="shared" si="43"/>
        <v>0.25161290322580654</v>
      </c>
      <c r="AC150" s="153"/>
      <c r="AD150" s="153"/>
      <c r="AE150" s="153"/>
      <c r="AF150" s="153"/>
      <c r="AG150" s="153"/>
      <c r="AH150" s="22"/>
      <c r="AI150" s="169"/>
      <c r="AJ150" s="184"/>
      <c r="AK150" s="207"/>
      <c r="AL150" s="207" t="s">
        <v>906</v>
      </c>
    </row>
    <row r="151" spans="1:38" s="90" customFormat="1" x14ac:dyDescent="0.25">
      <c r="A151" s="182" t="s">
        <v>183</v>
      </c>
      <c r="B151" s="35">
        <v>0.76</v>
      </c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183"/>
      <c r="P151" s="279">
        <v>0.13</v>
      </c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21">
        <f t="shared" si="42"/>
        <v>0.63</v>
      </c>
      <c r="AB151" s="114">
        <f t="shared" si="43"/>
        <v>0.82894736842105265</v>
      </c>
      <c r="AC151" s="133"/>
      <c r="AD151" s="133"/>
      <c r="AE151" s="133"/>
      <c r="AF151" s="133"/>
      <c r="AG151" s="133"/>
      <c r="AH151" s="35"/>
      <c r="AI151" s="169"/>
      <c r="AJ151" s="15"/>
      <c r="AK151" s="196"/>
      <c r="AL151" s="196" t="s">
        <v>907</v>
      </c>
    </row>
    <row r="152" spans="1:38" s="154" customFormat="1" x14ac:dyDescent="0.25">
      <c r="A152" s="152" t="s">
        <v>184</v>
      </c>
      <c r="B152" s="22">
        <v>0.76</v>
      </c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184"/>
      <c r="P152" s="184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>
        <f t="shared" si="42"/>
        <v>0.76</v>
      </c>
      <c r="AB152" s="153">
        <f t="shared" si="43"/>
        <v>1</v>
      </c>
      <c r="AC152" s="153"/>
      <c r="AD152" s="153"/>
      <c r="AE152" s="153"/>
      <c r="AF152" s="153"/>
      <c r="AG152" s="153"/>
      <c r="AH152" s="22"/>
      <c r="AI152" s="169"/>
      <c r="AJ152" s="184"/>
      <c r="AK152" s="207"/>
      <c r="AL152" s="207"/>
    </row>
    <row r="153" spans="1:38" s="90" customFormat="1" x14ac:dyDescent="0.25">
      <c r="A153" s="182" t="s">
        <v>185</v>
      </c>
      <c r="B153" s="35">
        <v>1.69</v>
      </c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183"/>
      <c r="P153" s="279">
        <v>0.35</v>
      </c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21">
        <f t="shared" si="42"/>
        <v>1.3399999999999999</v>
      </c>
      <c r="AB153" s="114">
        <f t="shared" si="43"/>
        <v>0.79289940828402361</v>
      </c>
      <c r="AC153" s="133"/>
      <c r="AD153" s="133"/>
      <c r="AE153" s="133"/>
      <c r="AF153" s="133"/>
      <c r="AG153" s="133"/>
      <c r="AH153" s="35"/>
      <c r="AI153" s="169"/>
      <c r="AJ153" s="15"/>
      <c r="AK153" s="196"/>
      <c r="AL153" s="196" t="s">
        <v>908</v>
      </c>
    </row>
    <row r="154" spans="1:38" s="154" customFormat="1" x14ac:dyDescent="0.25">
      <c r="A154" s="152" t="s">
        <v>186</v>
      </c>
      <c r="B154" s="22">
        <v>3.7</v>
      </c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184"/>
      <c r="P154" s="184">
        <v>2.98</v>
      </c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>
        <f t="shared" si="42"/>
        <v>0.7200000000000002</v>
      </c>
      <c r="AB154" s="153">
        <f t="shared" si="43"/>
        <v>0.19459459459459463</v>
      </c>
      <c r="AC154" s="153"/>
      <c r="AD154" s="153"/>
      <c r="AE154" s="153"/>
      <c r="AF154" s="153"/>
      <c r="AG154" s="153"/>
      <c r="AH154" s="22"/>
      <c r="AI154" s="169"/>
      <c r="AJ154" s="184"/>
      <c r="AK154" s="207"/>
      <c r="AL154" s="207"/>
    </row>
    <row r="155" spans="1:38" s="90" customFormat="1" x14ac:dyDescent="0.25">
      <c r="A155" s="177" t="s">
        <v>187</v>
      </c>
      <c r="B155" s="34">
        <v>0.04</v>
      </c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>
        <v>0.01</v>
      </c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1">
        <f t="shared" si="42"/>
        <v>0.03</v>
      </c>
      <c r="AB155" s="185">
        <f t="shared" si="43"/>
        <v>0.75</v>
      </c>
      <c r="AC155" s="186"/>
      <c r="AD155" s="186"/>
      <c r="AE155" s="186"/>
      <c r="AF155" s="186"/>
      <c r="AG155" s="186"/>
      <c r="AH155" s="187"/>
      <c r="AI155" s="169"/>
      <c r="AJ155" s="15"/>
      <c r="AK155" s="196"/>
      <c r="AL155" s="196"/>
    </row>
    <row r="156" spans="1:38" s="154" customFormat="1" x14ac:dyDescent="0.25">
      <c r="A156" s="170" t="s">
        <v>188</v>
      </c>
      <c r="B156" s="43">
        <v>10</v>
      </c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278">
        <v>1.4</v>
      </c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>
        <f t="shared" si="42"/>
        <v>8.6</v>
      </c>
      <c r="AB156" s="171">
        <f t="shared" si="43"/>
        <v>0.86</v>
      </c>
      <c r="AC156" s="188"/>
      <c r="AD156" s="188"/>
      <c r="AE156" s="188"/>
      <c r="AF156" s="188"/>
      <c r="AG156" s="188"/>
      <c r="AH156" s="189"/>
      <c r="AI156" s="169"/>
      <c r="AJ156" s="184"/>
      <c r="AK156" s="207"/>
      <c r="AL156" s="207" t="s">
        <v>909</v>
      </c>
    </row>
    <row r="157" spans="1:38" s="90" customFormat="1" x14ac:dyDescent="0.25">
      <c r="A157" s="177" t="s">
        <v>189</v>
      </c>
      <c r="B157" s="34">
        <v>0.67</v>
      </c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278">
        <v>0.05</v>
      </c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1">
        <f t="shared" si="42"/>
        <v>0.62</v>
      </c>
      <c r="AB157" s="185">
        <f t="shared" si="43"/>
        <v>0.9253731343283581</v>
      </c>
      <c r="AC157" s="186"/>
      <c r="AD157" s="186"/>
      <c r="AE157" s="186"/>
      <c r="AF157" s="186"/>
      <c r="AG157" s="186"/>
      <c r="AH157" s="187"/>
      <c r="AI157" s="169"/>
      <c r="AJ157" s="15"/>
      <c r="AK157" s="196"/>
      <c r="AL157" s="196" t="s">
        <v>910</v>
      </c>
    </row>
    <row r="158" spans="1:38" s="154" customFormat="1" x14ac:dyDescent="0.25">
      <c r="A158" s="170" t="s">
        <v>190</v>
      </c>
      <c r="B158" s="43">
        <v>4.88</v>
      </c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278">
        <v>0.4</v>
      </c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>
        <f t="shared" si="42"/>
        <v>4.4799999999999995</v>
      </c>
      <c r="AB158" s="171">
        <f t="shared" si="43"/>
        <v>0.91803278688524581</v>
      </c>
      <c r="AC158" s="188"/>
      <c r="AD158" s="188"/>
      <c r="AE158" s="188"/>
      <c r="AF158" s="188"/>
      <c r="AG158" s="188"/>
      <c r="AH158" s="189"/>
      <c r="AI158" s="169"/>
      <c r="AJ158" s="184"/>
      <c r="AK158" s="207"/>
      <c r="AL158" s="207" t="s">
        <v>911</v>
      </c>
    </row>
    <row r="159" spans="1:38" s="90" customFormat="1" x14ac:dyDescent="0.25">
      <c r="A159" s="177" t="s">
        <v>191</v>
      </c>
      <c r="B159" s="34">
        <v>4.88</v>
      </c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1">
        <f t="shared" si="42"/>
        <v>4.88</v>
      </c>
      <c r="AB159" s="185">
        <f t="shared" si="43"/>
        <v>1</v>
      </c>
      <c r="AC159" s="186"/>
      <c r="AD159" s="186"/>
      <c r="AE159" s="186"/>
      <c r="AF159" s="186"/>
      <c r="AG159" s="186"/>
      <c r="AH159" s="187"/>
      <c r="AI159" s="169"/>
      <c r="AJ159" s="15"/>
      <c r="AK159" s="196"/>
      <c r="AL159" s="196"/>
    </row>
    <row r="160" spans="1:38" s="154" customFormat="1" x14ac:dyDescent="0.25">
      <c r="A160" s="170" t="s">
        <v>192</v>
      </c>
      <c r="B160" s="43">
        <v>2.21</v>
      </c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278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>
        <f t="shared" si="42"/>
        <v>2.21</v>
      </c>
      <c r="AB160" s="171">
        <f t="shared" si="43"/>
        <v>1</v>
      </c>
      <c r="AC160" s="188"/>
      <c r="AD160" s="188"/>
      <c r="AE160" s="188"/>
      <c r="AF160" s="188"/>
      <c r="AG160" s="188"/>
      <c r="AH160" s="189"/>
      <c r="AI160" s="169"/>
      <c r="AJ160" s="184"/>
      <c r="AK160" s="207"/>
      <c r="AL160" s="207" t="s">
        <v>912</v>
      </c>
    </row>
    <row r="161" spans="1:38" s="90" customFormat="1" x14ac:dyDescent="0.25">
      <c r="A161" s="177" t="s">
        <v>193</v>
      </c>
      <c r="B161" s="34">
        <v>0.78</v>
      </c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1">
        <f t="shared" si="42"/>
        <v>0.78</v>
      </c>
      <c r="AB161" s="185">
        <f t="shared" si="43"/>
        <v>1</v>
      </c>
      <c r="AC161" s="186"/>
      <c r="AD161" s="186"/>
      <c r="AE161" s="186"/>
      <c r="AF161" s="186"/>
      <c r="AG161" s="186"/>
      <c r="AH161" s="187"/>
      <c r="AI161" s="169"/>
      <c r="AJ161" s="15"/>
      <c r="AK161" s="196"/>
      <c r="AL161" s="196"/>
    </row>
    <row r="162" spans="1:38" s="154" customFormat="1" x14ac:dyDescent="0.25">
      <c r="A162" s="170" t="s">
        <v>194</v>
      </c>
      <c r="B162" s="43">
        <v>23.48</v>
      </c>
      <c r="C162" s="43">
        <v>0.01</v>
      </c>
      <c r="D162" s="43">
        <v>0.02</v>
      </c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>
        <f t="shared" si="42"/>
        <v>23.45</v>
      </c>
      <c r="AB162" s="171">
        <f t="shared" si="43"/>
        <v>0.99872231686541735</v>
      </c>
      <c r="AC162" s="188"/>
      <c r="AD162" s="188"/>
      <c r="AE162" s="188"/>
      <c r="AF162" s="188"/>
      <c r="AG162" s="188"/>
      <c r="AH162" s="189"/>
      <c r="AI162" s="169"/>
      <c r="AJ162" s="184"/>
      <c r="AK162" s="207"/>
      <c r="AL162" s="207"/>
    </row>
    <row r="163" spans="1:38" s="90" customFormat="1" x14ac:dyDescent="0.25">
      <c r="A163" s="182" t="s">
        <v>195</v>
      </c>
      <c r="B163" s="35">
        <v>7.8</v>
      </c>
      <c r="C163" s="35"/>
      <c r="D163" s="35">
        <v>0.27</v>
      </c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21">
        <f t="shared" si="42"/>
        <v>7.5299999999999994</v>
      </c>
      <c r="AB163" s="114">
        <f t="shared" si="43"/>
        <v>0.96538461538461529</v>
      </c>
      <c r="AC163" s="133"/>
      <c r="AD163" s="133"/>
      <c r="AE163" s="133"/>
      <c r="AF163" s="133"/>
      <c r="AG163" s="133"/>
      <c r="AH163" s="35"/>
      <c r="AI163" s="169"/>
      <c r="AJ163" s="15"/>
      <c r="AK163" s="196"/>
      <c r="AL163" s="196"/>
    </row>
    <row r="164" spans="1:38" s="154" customFormat="1" ht="22.5" x14ac:dyDescent="0.25">
      <c r="A164" s="152" t="s">
        <v>713</v>
      </c>
      <c r="B164" s="22">
        <f>1.83+8.75+7.36</f>
        <v>17.940000000000001</v>
      </c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>
        <f t="shared" si="42"/>
        <v>17.940000000000001</v>
      </c>
      <c r="AB164" s="153">
        <f t="shared" si="43"/>
        <v>1</v>
      </c>
      <c r="AC164" s="153"/>
      <c r="AD164" s="153"/>
      <c r="AE164" s="153"/>
      <c r="AF164" s="153"/>
      <c r="AG164" s="153"/>
      <c r="AH164" s="22"/>
      <c r="AI164" s="169"/>
      <c r="AJ164" s="184"/>
      <c r="AK164" s="207" t="s">
        <v>714</v>
      </c>
      <c r="AL164" s="207"/>
    </row>
    <row r="165" spans="1:38" s="90" customFormat="1" x14ac:dyDescent="0.25">
      <c r="A165" s="182" t="s">
        <v>196</v>
      </c>
      <c r="B165" s="35">
        <v>7.28</v>
      </c>
      <c r="C165" s="35">
        <v>0.12</v>
      </c>
      <c r="D165" s="35">
        <v>0.19</v>
      </c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21">
        <f t="shared" si="42"/>
        <v>6.9700000000000006</v>
      </c>
      <c r="AB165" s="114">
        <f t="shared" si="43"/>
        <v>0.95741758241758246</v>
      </c>
      <c r="AC165" s="133"/>
      <c r="AD165" s="133"/>
      <c r="AE165" s="133"/>
      <c r="AF165" s="133"/>
      <c r="AG165" s="133"/>
      <c r="AH165" s="35"/>
      <c r="AI165" s="169"/>
      <c r="AJ165" s="15"/>
      <c r="AK165" s="196"/>
      <c r="AL165" s="196"/>
    </row>
    <row r="166" spans="1:38" s="154" customFormat="1" x14ac:dyDescent="0.25">
      <c r="A166" s="152" t="s">
        <v>197</v>
      </c>
      <c r="B166" s="22">
        <v>2.9</v>
      </c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>
        <f t="shared" si="42"/>
        <v>2.9</v>
      </c>
      <c r="AB166" s="153">
        <f t="shared" si="43"/>
        <v>1</v>
      </c>
      <c r="AC166" s="153"/>
      <c r="AD166" s="153"/>
      <c r="AE166" s="153"/>
      <c r="AF166" s="153"/>
      <c r="AG166" s="153"/>
      <c r="AH166" s="22"/>
      <c r="AI166" s="169"/>
      <c r="AJ166" s="184"/>
      <c r="AK166" s="207"/>
      <c r="AL166" s="207"/>
    </row>
    <row r="167" spans="1:38" s="90" customFormat="1" x14ac:dyDescent="0.25">
      <c r="A167" s="182" t="s">
        <v>198</v>
      </c>
      <c r="B167" s="35">
        <v>12.34</v>
      </c>
      <c r="C167" s="35">
        <v>0.31</v>
      </c>
      <c r="D167" s="35">
        <v>0.21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21">
        <f t="shared" si="42"/>
        <v>11.82</v>
      </c>
      <c r="AB167" s="114">
        <f t="shared" si="43"/>
        <v>0.9578606158833064</v>
      </c>
      <c r="AC167" s="133"/>
      <c r="AD167" s="133"/>
      <c r="AE167" s="133"/>
      <c r="AF167" s="133"/>
      <c r="AG167" s="133"/>
      <c r="AH167" s="35"/>
      <c r="AI167" s="169"/>
      <c r="AJ167" s="15"/>
      <c r="AK167" s="196"/>
      <c r="AL167" s="196"/>
    </row>
    <row r="168" spans="1:38" s="154" customFormat="1" x14ac:dyDescent="0.25">
      <c r="A168" s="152" t="s">
        <v>199</v>
      </c>
      <c r="B168" s="22">
        <v>12.66</v>
      </c>
      <c r="C168" s="22"/>
      <c r="D168" s="22">
        <v>0.09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>
        <f t="shared" si="42"/>
        <v>12.57</v>
      </c>
      <c r="AB168" s="153">
        <f t="shared" si="43"/>
        <v>0.99289099526066349</v>
      </c>
      <c r="AC168" s="153"/>
      <c r="AD168" s="153"/>
      <c r="AE168" s="153"/>
      <c r="AF168" s="153"/>
      <c r="AG168" s="153"/>
      <c r="AH168" s="22"/>
      <c r="AI168" s="169"/>
      <c r="AJ168" s="184"/>
      <c r="AK168" s="207"/>
      <c r="AL168" s="207"/>
    </row>
    <row r="169" spans="1:38" s="90" customFormat="1" x14ac:dyDescent="0.25">
      <c r="A169" s="182" t="s">
        <v>200</v>
      </c>
      <c r="B169" s="35">
        <v>97.82</v>
      </c>
      <c r="C169" s="35">
        <v>2.48</v>
      </c>
      <c r="D169" s="35">
        <v>2.57</v>
      </c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151">
        <v>8.25</v>
      </c>
      <c r="Q169" s="35"/>
      <c r="R169" s="35">
        <v>2.4700000000000002</v>
      </c>
      <c r="S169" s="35"/>
      <c r="T169" s="35"/>
      <c r="U169" s="35"/>
      <c r="V169" s="35"/>
      <c r="W169" s="35"/>
      <c r="X169" s="35"/>
      <c r="Y169" s="35"/>
      <c r="Z169" s="35"/>
      <c r="AA169" s="21">
        <f t="shared" si="42"/>
        <v>82.05</v>
      </c>
      <c r="AB169" s="114">
        <f t="shared" si="43"/>
        <v>0.83878552443263144</v>
      </c>
      <c r="AC169" s="133"/>
      <c r="AD169" s="133"/>
      <c r="AE169" s="133"/>
      <c r="AF169" s="133"/>
      <c r="AG169" s="133"/>
      <c r="AH169" s="35"/>
      <c r="AI169" s="169"/>
      <c r="AJ169" s="15"/>
      <c r="AK169" s="196"/>
      <c r="AL169" s="196"/>
    </row>
    <row r="170" spans="1:38" s="154" customFormat="1" x14ac:dyDescent="0.25">
      <c r="A170" s="152" t="s">
        <v>201</v>
      </c>
      <c r="B170" s="22">
        <v>21.85</v>
      </c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>
        <f t="shared" si="42"/>
        <v>21.85</v>
      </c>
      <c r="AB170" s="153">
        <f t="shared" si="43"/>
        <v>1</v>
      </c>
      <c r="AC170" s="153"/>
      <c r="AD170" s="153"/>
      <c r="AE170" s="153"/>
      <c r="AF170" s="153"/>
      <c r="AG170" s="153"/>
      <c r="AH170" s="22"/>
      <c r="AI170" s="169"/>
      <c r="AJ170" s="184"/>
      <c r="AK170" s="207"/>
      <c r="AL170" s="207" t="s">
        <v>913</v>
      </c>
    </row>
    <row r="171" spans="1:38" s="90" customFormat="1" x14ac:dyDescent="0.25">
      <c r="A171" s="182" t="s">
        <v>202</v>
      </c>
      <c r="B171" s="35">
        <v>12.34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21">
        <f t="shared" si="42"/>
        <v>12.34</v>
      </c>
      <c r="AB171" s="114">
        <f t="shared" si="43"/>
        <v>1</v>
      </c>
      <c r="AC171" s="133"/>
      <c r="AD171" s="133"/>
      <c r="AE171" s="133"/>
      <c r="AF171" s="133"/>
      <c r="AG171" s="133"/>
      <c r="AH171" s="35"/>
      <c r="AI171" s="169"/>
      <c r="AJ171" s="15"/>
      <c r="AK171" s="196"/>
      <c r="AL171" s="196"/>
    </row>
    <row r="172" spans="1:38" s="154" customFormat="1" x14ac:dyDescent="0.25">
      <c r="A172" s="152" t="s">
        <v>203</v>
      </c>
      <c r="B172" s="22">
        <v>12.27</v>
      </c>
      <c r="C172" s="22">
        <v>0.25</v>
      </c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>
        <f t="shared" si="42"/>
        <v>12.02</v>
      </c>
      <c r="AB172" s="153">
        <f t="shared" si="43"/>
        <v>0.97962510187449059</v>
      </c>
      <c r="AC172" s="153"/>
      <c r="AD172" s="153"/>
      <c r="AE172" s="153"/>
      <c r="AF172" s="153"/>
      <c r="AG172" s="153"/>
      <c r="AH172" s="22"/>
      <c r="AI172" s="169"/>
      <c r="AJ172" s="184"/>
      <c r="AK172" s="207"/>
      <c r="AL172" s="207"/>
    </row>
    <row r="173" spans="1:38" s="90" customFormat="1" x14ac:dyDescent="0.25">
      <c r="A173" s="182" t="s">
        <v>204</v>
      </c>
      <c r="B173" s="35">
        <v>12.29</v>
      </c>
      <c r="C173" s="35">
        <v>0.46</v>
      </c>
      <c r="D173" s="35">
        <v>0.43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>
        <v>1.24</v>
      </c>
      <c r="S173" s="35"/>
      <c r="T173" s="35"/>
      <c r="U173" s="35"/>
      <c r="V173" s="35"/>
      <c r="W173" s="35"/>
      <c r="X173" s="35"/>
      <c r="Y173" s="35"/>
      <c r="Z173" s="35"/>
      <c r="AA173" s="21">
        <f t="shared" si="42"/>
        <v>10.16</v>
      </c>
      <c r="AB173" s="114">
        <f t="shared" si="43"/>
        <v>0.82668836452400329</v>
      </c>
      <c r="AC173" s="133"/>
      <c r="AD173" s="133"/>
      <c r="AE173" s="133"/>
      <c r="AF173" s="133"/>
      <c r="AG173" s="133"/>
      <c r="AH173" s="35"/>
      <c r="AI173" s="169"/>
      <c r="AJ173" s="15"/>
      <c r="AK173" s="196"/>
      <c r="AL173" s="196"/>
    </row>
    <row r="174" spans="1:38" s="154" customFormat="1" x14ac:dyDescent="0.25">
      <c r="A174" s="152" t="s">
        <v>205</v>
      </c>
      <c r="B174" s="22">
        <v>11.84</v>
      </c>
      <c r="C174" s="22"/>
      <c r="D174" s="22">
        <v>0.28000000000000003</v>
      </c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151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>
        <f t="shared" si="42"/>
        <v>11.56</v>
      </c>
      <c r="AB174" s="153">
        <f t="shared" si="43"/>
        <v>0.97635135135135143</v>
      </c>
      <c r="AC174" s="153"/>
      <c r="AD174" s="153"/>
      <c r="AE174" s="153"/>
      <c r="AF174" s="153"/>
      <c r="AG174" s="153"/>
      <c r="AH174" s="22"/>
      <c r="AI174" s="169"/>
      <c r="AJ174" s="184"/>
      <c r="AK174" s="207"/>
      <c r="AL174" s="207" t="s">
        <v>914</v>
      </c>
    </row>
    <row r="175" spans="1:38" s="90" customFormat="1" x14ac:dyDescent="0.25">
      <c r="A175" s="182" t="s">
        <v>206</v>
      </c>
      <c r="B175" s="35">
        <v>6.65</v>
      </c>
      <c r="C175" s="35"/>
      <c r="D175" s="35"/>
      <c r="E175" s="35"/>
      <c r="F175" s="35">
        <v>6.65</v>
      </c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21">
        <f t="shared" si="42"/>
        <v>0</v>
      </c>
      <c r="AB175" s="114">
        <f t="shared" si="43"/>
        <v>0</v>
      </c>
      <c r="AC175" s="133"/>
      <c r="AD175" s="133"/>
      <c r="AE175" s="133"/>
      <c r="AF175" s="133"/>
      <c r="AG175" s="133"/>
      <c r="AH175" s="35"/>
      <c r="AI175" s="169"/>
      <c r="AJ175" s="15"/>
      <c r="AK175" s="196"/>
      <c r="AL175" s="110"/>
    </row>
    <row r="176" spans="1:38" s="154" customFormat="1" x14ac:dyDescent="0.25">
      <c r="A176" s="152" t="s">
        <v>207</v>
      </c>
      <c r="B176" s="22">
        <v>6.44</v>
      </c>
      <c r="C176" s="22"/>
      <c r="D176" s="22"/>
      <c r="E176" s="22"/>
      <c r="F176" s="22">
        <v>6.44</v>
      </c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>
        <f t="shared" si="42"/>
        <v>0</v>
      </c>
      <c r="AB176" s="153">
        <f t="shared" si="43"/>
        <v>0</v>
      </c>
      <c r="AC176" s="153"/>
      <c r="AD176" s="153"/>
      <c r="AE176" s="153"/>
      <c r="AF176" s="153"/>
      <c r="AG176" s="153"/>
      <c r="AH176" s="22"/>
      <c r="AI176" s="169"/>
      <c r="AJ176" s="184"/>
      <c r="AK176" s="207"/>
      <c r="AL176" s="281"/>
    </row>
    <row r="177" spans="1:38" s="90" customFormat="1" x14ac:dyDescent="0.25">
      <c r="A177" s="107" t="s">
        <v>14</v>
      </c>
      <c r="B177" s="23">
        <f t="shared" ref="B177:Z177" si="44">SUM(B137:B176)</f>
        <v>413.28999999999996</v>
      </c>
      <c r="C177" s="23">
        <f t="shared" si="44"/>
        <v>3.63</v>
      </c>
      <c r="D177" s="23">
        <f t="shared" si="44"/>
        <v>4.2</v>
      </c>
      <c r="E177" s="23">
        <f t="shared" si="44"/>
        <v>0</v>
      </c>
      <c r="F177" s="23">
        <f t="shared" si="44"/>
        <v>13.09</v>
      </c>
      <c r="G177" s="23">
        <f t="shared" si="44"/>
        <v>0</v>
      </c>
      <c r="H177" s="23">
        <f t="shared" si="44"/>
        <v>0</v>
      </c>
      <c r="I177" s="23">
        <f t="shared" si="44"/>
        <v>0</v>
      </c>
      <c r="J177" s="23">
        <f t="shared" si="44"/>
        <v>0</v>
      </c>
      <c r="K177" s="23">
        <f t="shared" si="44"/>
        <v>0</v>
      </c>
      <c r="L177" s="23">
        <f t="shared" si="44"/>
        <v>0</v>
      </c>
      <c r="M177" s="23">
        <f t="shared" si="44"/>
        <v>0</v>
      </c>
      <c r="N177" s="23">
        <f t="shared" si="44"/>
        <v>0</v>
      </c>
      <c r="O177" s="23">
        <f t="shared" si="44"/>
        <v>0</v>
      </c>
      <c r="P177" s="23">
        <f t="shared" si="44"/>
        <v>17.55</v>
      </c>
      <c r="Q177" s="23">
        <f t="shared" si="44"/>
        <v>0</v>
      </c>
      <c r="R177" s="23">
        <f t="shared" si="44"/>
        <v>4.9000000000000004</v>
      </c>
      <c r="S177" s="23">
        <f t="shared" si="44"/>
        <v>21.82</v>
      </c>
      <c r="T177" s="23">
        <f t="shared" si="44"/>
        <v>0</v>
      </c>
      <c r="U177" s="23">
        <f t="shared" si="44"/>
        <v>0</v>
      </c>
      <c r="V177" s="23">
        <f t="shared" si="44"/>
        <v>0</v>
      </c>
      <c r="W177" s="23">
        <f t="shared" si="44"/>
        <v>0</v>
      </c>
      <c r="X177" s="23">
        <f t="shared" si="44"/>
        <v>0</v>
      </c>
      <c r="Y177" s="23">
        <f t="shared" si="44"/>
        <v>0</v>
      </c>
      <c r="Z177" s="23">
        <f t="shared" si="44"/>
        <v>0</v>
      </c>
      <c r="AA177" s="23">
        <f t="shared" si="42"/>
        <v>348.09999999999997</v>
      </c>
      <c r="AB177" s="135">
        <f t="shared" si="43"/>
        <v>0.84226572140627642</v>
      </c>
      <c r="AC177" s="118"/>
      <c r="AD177" s="118"/>
      <c r="AE177" s="118"/>
      <c r="AF177" s="118"/>
      <c r="AG177" s="118"/>
      <c r="AH177" s="23"/>
      <c r="AI177" s="169"/>
      <c r="AJ177" s="215"/>
      <c r="AK177" s="214"/>
      <c r="AL177" s="110"/>
    </row>
    <row r="178" spans="1:38" s="90" customFormat="1" x14ac:dyDescent="0.25">
      <c r="A178" s="182" t="s">
        <v>83</v>
      </c>
      <c r="B178" s="35">
        <v>8.7799999999999994</v>
      </c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  <c r="W178" s="35">
        <v>0</v>
      </c>
      <c r="X178" s="35">
        <v>0</v>
      </c>
      <c r="Y178" s="35">
        <v>0</v>
      </c>
      <c r="Z178" s="35">
        <v>12.29</v>
      </c>
      <c r="AA178" s="21">
        <f t="shared" si="42"/>
        <v>-3.51</v>
      </c>
      <c r="AB178" s="114">
        <f t="shared" si="43"/>
        <v>-0.39977220956719817</v>
      </c>
      <c r="AC178" s="133"/>
      <c r="AD178" s="133"/>
      <c r="AE178" s="133"/>
      <c r="AF178" s="133"/>
      <c r="AG178" s="133"/>
      <c r="AH178" s="35"/>
      <c r="AI178" s="169"/>
      <c r="AJ178" s="16"/>
      <c r="AK178" s="208"/>
      <c r="AL178" s="110"/>
    </row>
    <row r="179" spans="1:38" s="90" customFormat="1" x14ac:dyDescent="0.25">
      <c r="A179" s="107" t="s">
        <v>14</v>
      </c>
      <c r="B179" s="23">
        <f>B178</f>
        <v>8.7799999999999994</v>
      </c>
      <c r="C179" s="23">
        <v>0</v>
      </c>
      <c r="D179" s="32">
        <v>0</v>
      </c>
      <c r="E179" s="32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0</v>
      </c>
      <c r="S179" s="23">
        <v>0</v>
      </c>
      <c r="T179" s="23">
        <v>0</v>
      </c>
      <c r="U179" s="23">
        <v>0</v>
      </c>
      <c r="V179" s="23">
        <v>0</v>
      </c>
      <c r="W179" s="23">
        <v>0</v>
      </c>
      <c r="X179" s="23">
        <v>0</v>
      </c>
      <c r="Y179" s="23">
        <v>0</v>
      </c>
      <c r="Z179" s="23">
        <v>12.29</v>
      </c>
      <c r="AA179" s="23">
        <v>0</v>
      </c>
      <c r="AB179" s="118">
        <f t="shared" si="43"/>
        <v>0</v>
      </c>
      <c r="AC179" s="118"/>
      <c r="AD179" s="118"/>
      <c r="AE179" s="118"/>
      <c r="AF179" s="118"/>
      <c r="AG179" s="118"/>
      <c r="AH179" s="23"/>
      <c r="AI179" s="169"/>
      <c r="AJ179" s="215"/>
      <c r="AK179" s="214"/>
      <c r="AL179" s="110"/>
    </row>
    <row r="180" spans="1:38" s="90" customFormat="1" x14ac:dyDescent="0.25">
      <c r="A180" s="156" t="s">
        <v>208</v>
      </c>
      <c r="B180" s="25">
        <f>B177+B179</f>
        <v>422.06999999999994</v>
      </c>
      <c r="C180" s="25">
        <f t="shared" ref="C180:Z180" si="45">C177+C179</f>
        <v>3.63</v>
      </c>
      <c r="D180" s="25">
        <f t="shared" si="45"/>
        <v>4.2</v>
      </c>
      <c r="E180" s="25">
        <f t="shared" si="45"/>
        <v>0</v>
      </c>
      <c r="F180" s="25">
        <f t="shared" si="45"/>
        <v>13.09</v>
      </c>
      <c r="G180" s="25">
        <f t="shared" si="45"/>
        <v>0</v>
      </c>
      <c r="H180" s="25">
        <f t="shared" si="45"/>
        <v>0</v>
      </c>
      <c r="I180" s="25">
        <f t="shared" si="45"/>
        <v>0</v>
      </c>
      <c r="J180" s="25">
        <f t="shared" si="45"/>
        <v>0</v>
      </c>
      <c r="K180" s="25">
        <f t="shared" si="45"/>
        <v>0</v>
      </c>
      <c r="L180" s="25">
        <f t="shared" si="45"/>
        <v>0</v>
      </c>
      <c r="M180" s="25">
        <f t="shared" si="45"/>
        <v>0</v>
      </c>
      <c r="N180" s="25">
        <f t="shared" si="45"/>
        <v>0</v>
      </c>
      <c r="O180" s="25">
        <f t="shared" si="45"/>
        <v>0</v>
      </c>
      <c r="P180" s="25">
        <f t="shared" si="45"/>
        <v>17.55</v>
      </c>
      <c r="Q180" s="25">
        <f t="shared" si="45"/>
        <v>0</v>
      </c>
      <c r="R180" s="25">
        <f t="shared" si="45"/>
        <v>4.9000000000000004</v>
      </c>
      <c r="S180" s="25">
        <f t="shared" si="45"/>
        <v>21.82</v>
      </c>
      <c r="T180" s="25">
        <f t="shared" si="45"/>
        <v>0</v>
      </c>
      <c r="U180" s="25">
        <f t="shared" si="45"/>
        <v>0</v>
      </c>
      <c r="V180" s="25">
        <f t="shared" si="45"/>
        <v>0</v>
      </c>
      <c r="W180" s="25">
        <f t="shared" si="45"/>
        <v>0</v>
      </c>
      <c r="X180" s="25">
        <f t="shared" si="45"/>
        <v>0</v>
      </c>
      <c r="Y180" s="25">
        <f t="shared" si="45"/>
        <v>0</v>
      </c>
      <c r="Z180" s="25">
        <f t="shared" si="45"/>
        <v>12.29</v>
      </c>
      <c r="AA180" s="41">
        <f>SUM(AA177+AA179)</f>
        <v>348.09999999999997</v>
      </c>
      <c r="AB180" s="298">
        <f t="shared" si="43"/>
        <v>0.82474471059302967</v>
      </c>
      <c r="AC180" s="180"/>
      <c r="AD180" s="180"/>
      <c r="AE180" s="180"/>
      <c r="AF180" s="180"/>
      <c r="AG180" s="180"/>
      <c r="AH180" s="181"/>
      <c r="AI180" s="169"/>
      <c r="AJ180" s="218"/>
      <c r="AK180" s="219"/>
      <c r="AL180" s="110"/>
    </row>
    <row r="181" spans="1:38" s="90" customFormat="1" x14ac:dyDescent="0.25"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128"/>
      <c r="AC181" s="128"/>
      <c r="AD181" s="128"/>
      <c r="AE181" s="128"/>
      <c r="AF181" s="128"/>
      <c r="AG181" s="128"/>
      <c r="AH181" s="33"/>
      <c r="AI181" s="169"/>
      <c r="AJ181" s="209"/>
      <c r="AK181" s="210"/>
      <c r="AL181" s="110"/>
    </row>
    <row r="182" spans="1:38" s="90" customFormat="1" x14ac:dyDescent="0.25">
      <c r="A182" s="190" t="s">
        <v>209</v>
      </c>
      <c r="B182" s="42">
        <f t="shared" ref="B182:AA182" si="46">B180+B130+B107+B24</f>
        <v>2090.69</v>
      </c>
      <c r="C182" s="42">
        <f t="shared" si="46"/>
        <v>21.659999999999997</v>
      </c>
      <c r="D182" s="42">
        <f t="shared" si="46"/>
        <v>25.560000000000002</v>
      </c>
      <c r="E182" s="42">
        <f t="shared" si="46"/>
        <v>1</v>
      </c>
      <c r="F182" s="42">
        <f t="shared" si="46"/>
        <v>23.490000000000002</v>
      </c>
      <c r="G182" s="42">
        <f t="shared" si="46"/>
        <v>8.09</v>
      </c>
      <c r="H182" s="42">
        <f t="shared" si="46"/>
        <v>1.5</v>
      </c>
      <c r="I182" s="42">
        <f t="shared" si="46"/>
        <v>2</v>
      </c>
      <c r="J182" s="42">
        <f t="shared" si="46"/>
        <v>1</v>
      </c>
      <c r="K182" s="42">
        <f t="shared" si="46"/>
        <v>0.4</v>
      </c>
      <c r="L182" s="42">
        <f t="shared" si="46"/>
        <v>37.870000000000005</v>
      </c>
      <c r="M182" s="42">
        <f t="shared" si="46"/>
        <v>0</v>
      </c>
      <c r="N182" s="42">
        <f t="shared" si="46"/>
        <v>0</v>
      </c>
      <c r="O182" s="42">
        <f t="shared" si="46"/>
        <v>0</v>
      </c>
      <c r="P182" s="42">
        <f t="shared" si="46"/>
        <v>145.82000000000002</v>
      </c>
      <c r="Q182" s="42">
        <f t="shared" si="46"/>
        <v>1.06</v>
      </c>
      <c r="R182" s="42">
        <f t="shared" si="46"/>
        <v>38.720000000000013</v>
      </c>
      <c r="S182" s="42">
        <f t="shared" si="46"/>
        <v>21.82</v>
      </c>
      <c r="T182" s="42">
        <f t="shared" si="46"/>
        <v>53.46</v>
      </c>
      <c r="U182" s="42">
        <f t="shared" si="46"/>
        <v>48.29</v>
      </c>
      <c r="V182" s="42">
        <f t="shared" si="46"/>
        <v>15.49</v>
      </c>
      <c r="W182" s="42">
        <f t="shared" si="46"/>
        <v>46.94</v>
      </c>
      <c r="X182" s="42">
        <f t="shared" si="46"/>
        <v>10.46</v>
      </c>
      <c r="Y182" s="42">
        <f t="shared" si="46"/>
        <v>0</v>
      </c>
      <c r="Z182" s="42">
        <f t="shared" si="46"/>
        <v>52</v>
      </c>
      <c r="AA182" s="26">
        <f t="shared" si="46"/>
        <v>1537.57</v>
      </c>
      <c r="AB182" s="191">
        <f>AA182/B182</f>
        <v>0.73543662618561334</v>
      </c>
      <c r="AC182" s="220"/>
      <c r="AD182" s="220"/>
      <c r="AE182" s="220"/>
      <c r="AF182" s="220"/>
      <c r="AG182" s="220"/>
      <c r="AH182" s="42"/>
      <c r="AI182" s="169"/>
      <c r="AJ182" s="221" t="s">
        <v>498</v>
      </c>
      <c r="AK182" s="222"/>
      <c r="AL182" s="110"/>
    </row>
    <row r="184" spans="1:38" x14ac:dyDescent="0.2">
      <c r="A184" s="162" t="s">
        <v>924</v>
      </c>
      <c r="AA184" s="36"/>
    </row>
    <row r="185" spans="1:38" x14ac:dyDescent="0.2">
      <c r="A185" s="162" t="s">
        <v>85</v>
      </c>
      <c r="AA185" s="72"/>
    </row>
  </sheetData>
  <sheetProtection algorithmName="SHA-512" hashValue="I2PmBOaF5ajw308weIssXgQbnUPB2E/pqG9uH/YSvp+/FuDMncMb6xm17RLaEs5VDttqR+1SogUB8a6qCgOcCg==" saltValue="83asiDFilvAPZYF+lOrgeQ==" spinCount="100000" sheet="1" objects="1" scenarios="1"/>
  <mergeCells count="8">
    <mergeCell ref="AB1:AE1"/>
    <mergeCell ref="AF1:AH1"/>
    <mergeCell ref="C1:F1"/>
    <mergeCell ref="G1:L1"/>
    <mergeCell ref="M1:S1"/>
    <mergeCell ref="T1:U1"/>
    <mergeCell ref="V1:Z1"/>
    <mergeCell ref="AA1:AA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69"/>
  <sheetViews>
    <sheetView zoomScale="90" zoomScaleNormal="90" workbookViewId="0">
      <pane xSplit="2" topLeftCell="O1" activePane="topRight" state="frozen"/>
      <selection activeCell="A31" sqref="A31"/>
      <selection pane="topRight" sqref="A1:XFD1048576"/>
    </sheetView>
  </sheetViews>
  <sheetFormatPr defaultColWidth="9.140625" defaultRowHeight="12" x14ac:dyDescent="0.2"/>
  <cols>
    <col min="1" max="1" width="10.5703125" style="375" customWidth="1"/>
    <col min="2" max="2" width="14.140625" style="375" bestFit="1" customWidth="1"/>
    <col min="3" max="3" width="85.140625" style="375" bestFit="1" customWidth="1"/>
    <col min="4" max="4" width="12.140625" style="417" bestFit="1" customWidth="1"/>
    <col min="5" max="5" width="12.85546875" style="417" bestFit="1" customWidth="1"/>
    <col min="6" max="6" width="12.140625" style="417" bestFit="1" customWidth="1"/>
    <col min="7" max="7" width="22.85546875" style="375" bestFit="1" customWidth="1"/>
    <col min="8" max="8" width="32.7109375" style="375" bestFit="1" customWidth="1"/>
    <col min="9" max="9" width="82.7109375" style="375" bestFit="1" customWidth="1"/>
    <col min="10" max="10" width="9.140625" style="382"/>
    <col min="11" max="11" width="35.85546875" style="54" bestFit="1" customWidth="1"/>
    <col min="12" max="12" width="26.140625" style="375" bestFit="1" customWidth="1"/>
    <col min="13" max="13" width="0" style="375" hidden="1" customWidth="1"/>
    <col min="14" max="14" width="40.42578125" style="54" bestFit="1" customWidth="1"/>
    <col min="15" max="15" width="35.85546875" style="54" bestFit="1" customWidth="1"/>
    <col min="16" max="16" width="52.7109375" style="54" bestFit="1" customWidth="1"/>
    <col min="17" max="17" width="31.5703125" style="54" customWidth="1"/>
    <col min="18" max="18" width="3.7109375" style="382" customWidth="1"/>
    <col min="19" max="20" width="18.5703125" style="54" customWidth="1"/>
    <col min="21" max="16384" width="9.140625" style="53"/>
  </cols>
  <sheetData>
    <row r="1" spans="1:32" x14ac:dyDescent="0.2">
      <c r="A1" s="416" t="s">
        <v>210</v>
      </c>
    </row>
    <row r="4" spans="1:32" s="57" customFormat="1" ht="24" x14ac:dyDescent="0.25">
      <c r="A4" s="55" t="s">
        <v>211</v>
      </c>
      <c r="B4" s="55" t="s">
        <v>212</v>
      </c>
      <c r="C4" s="55" t="s">
        <v>0</v>
      </c>
      <c r="D4" s="56" t="s">
        <v>974</v>
      </c>
      <c r="E4" s="56" t="s">
        <v>975</v>
      </c>
      <c r="F4" s="56" t="s">
        <v>976</v>
      </c>
      <c r="G4" s="55" t="s">
        <v>214</v>
      </c>
      <c r="H4" s="55" t="s">
        <v>215</v>
      </c>
      <c r="I4" s="55" t="s">
        <v>216</v>
      </c>
      <c r="J4" s="80"/>
      <c r="K4" s="55" t="s">
        <v>780</v>
      </c>
      <c r="L4" s="55"/>
      <c r="N4" s="55" t="s">
        <v>664</v>
      </c>
      <c r="O4" s="55" t="s">
        <v>662</v>
      </c>
      <c r="P4" s="55" t="s">
        <v>665</v>
      </c>
      <c r="Q4" s="55" t="s">
        <v>675</v>
      </c>
      <c r="R4" s="80"/>
      <c r="S4" s="55" t="s">
        <v>794</v>
      </c>
      <c r="T4" s="55" t="s">
        <v>795</v>
      </c>
    </row>
    <row r="5" spans="1:32" s="62" customFormat="1" x14ac:dyDescent="0.2">
      <c r="A5" s="418" t="s">
        <v>217</v>
      </c>
      <c r="B5" s="58"/>
      <c r="C5" s="58"/>
      <c r="D5" s="303"/>
      <c r="E5" s="303"/>
      <c r="F5" s="303"/>
      <c r="G5" s="58"/>
      <c r="H5" s="58"/>
      <c r="I5" s="58"/>
      <c r="J5" s="81"/>
      <c r="K5" s="58"/>
      <c r="L5" s="58"/>
      <c r="M5" s="192"/>
      <c r="N5" s="82"/>
      <c r="O5" s="58"/>
      <c r="P5" s="58"/>
      <c r="Q5" s="58"/>
      <c r="R5" s="477"/>
      <c r="S5" s="58"/>
      <c r="T5" s="58"/>
      <c r="U5" s="59"/>
      <c r="V5" s="58"/>
      <c r="W5" s="58"/>
      <c r="X5" s="58"/>
      <c r="Y5" s="58"/>
      <c r="Z5" s="60"/>
      <c r="AA5" s="60"/>
      <c r="AB5" s="60"/>
      <c r="AC5" s="60"/>
      <c r="AD5" s="60"/>
      <c r="AE5" s="60"/>
      <c r="AF5" s="61"/>
    </row>
    <row r="6" spans="1:32" s="73" customFormat="1" ht="36" x14ac:dyDescent="0.25">
      <c r="A6" s="67" t="s">
        <v>218</v>
      </c>
      <c r="B6" s="67" t="s">
        <v>219</v>
      </c>
      <c r="C6" s="326" t="str">
        <f>'1.4.3 Transport'!B3</f>
        <v>Rees Road: Coburns Road (PSP boundary) to East West Arterial (IT01) 
Construction of a 2-lane arterial road (interim layout). 
Purchase of land to increase reserve width from 20m to 34m (ultimate).</v>
      </c>
      <c r="D6" s="419">
        <v>228722</v>
      </c>
      <c r="E6" s="419">
        <v>848383</v>
      </c>
      <c r="F6" s="419">
        <f>D6+E6</f>
        <v>1077105</v>
      </c>
      <c r="G6" s="67" t="s">
        <v>220</v>
      </c>
      <c r="H6" s="234" t="s">
        <v>221</v>
      </c>
      <c r="I6" s="67" t="s">
        <v>966</v>
      </c>
      <c r="J6" s="382"/>
      <c r="K6" s="67" t="str">
        <f>'1.4.3 Transport'!D3</f>
        <v>Land partially acquired
Road constructed</v>
      </c>
      <c r="L6" s="67" t="s">
        <v>561</v>
      </c>
      <c r="M6" s="382"/>
      <c r="N6" s="67" t="s">
        <v>627</v>
      </c>
      <c r="O6" s="67" t="str">
        <f>'1.4.3 Transport'!F3</f>
        <v>Road width decreased from 38m to 34m</v>
      </c>
      <c r="P6" s="63" t="s">
        <v>991</v>
      </c>
      <c r="Q6" s="67" t="s">
        <v>781</v>
      </c>
      <c r="R6" s="382"/>
      <c r="S6" s="67"/>
      <c r="T6" s="67"/>
    </row>
    <row r="7" spans="1:32" s="66" customFormat="1" ht="36" x14ac:dyDescent="0.2">
      <c r="A7" s="67" t="s">
        <v>222</v>
      </c>
      <c r="B7" s="67" t="s">
        <v>219</v>
      </c>
      <c r="C7" s="326" t="s">
        <v>553</v>
      </c>
      <c r="D7" s="419">
        <v>0</v>
      </c>
      <c r="E7" s="419">
        <v>15479</v>
      </c>
      <c r="F7" s="419">
        <f t="shared" ref="F7:F43" si="0">D7+E7</f>
        <v>15479</v>
      </c>
      <c r="G7" s="67" t="s">
        <v>220</v>
      </c>
      <c r="H7" s="67" t="s">
        <v>221</v>
      </c>
      <c r="I7" s="67" t="s">
        <v>223</v>
      </c>
      <c r="J7" s="382"/>
      <c r="K7" s="67" t="str">
        <f>K6</f>
        <v>Land partially acquired
Road constructed</v>
      </c>
      <c r="L7" s="67" t="s">
        <v>561</v>
      </c>
      <c r="M7" s="382"/>
      <c r="N7" s="67" t="s">
        <v>627</v>
      </c>
      <c r="O7" s="67"/>
      <c r="P7" s="63" t="s">
        <v>991</v>
      </c>
      <c r="Q7" s="67"/>
      <c r="R7" s="382"/>
      <c r="S7" s="67"/>
      <c r="T7" s="67"/>
    </row>
    <row r="8" spans="1:32" s="66" customFormat="1" ht="36" x14ac:dyDescent="0.2">
      <c r="A8" s="67" t="s">
        <v>224</v>
      </c>
      <c r="B8" s="67" t="s">
        <v>219</v>
      </c>
      <c r="C8" s="326" t="str">
        <f>'1.4.3 Transport'!B4</f>
        <v xml:space="preserve">East West Arterial: Rees Road (IT01) to Exford Road (IT02)
Construction of a 2-lane arterial road (interim standard) 
Purchase of land to increase reserve width from 0m to 34m (ultimate). </v>
      </c>
      <c r="D8" s="419">
        <v>1600000</v>
      </c>
      <c r="E8" s="419">
        <v>4496855</v>
      </c>
      <c r="F8" s="419">
        <f t="shared" si="0"/>
        <v>6096855</v>
      </c>
      <c r="G8" s="67" t="s">
        <v>220</v>
      </c>
      <c r="H8" s="67" t="s">
        <v>221</v>
      </c>
      <c r="I8" s="67" t="s">
        <v>223</v>
      </c>
      <c r="J8" s="382"/>
      <c r="K8" s="67" t="str">
        <f>'1.4.3 Transport'!D4</f>
        <v>Land acquired</v>
      </c>
      <c r="L8" s="67" t="s">
        <v>562</v>
      </c>
      <c r="M8" s="382"/>
      <c r="N8" s="67" t="s">
        <v>627</v>
      </c>
      <c r="O8" s="67" t="str">
        <f>'1.4.3 Transport'!F4</f>
        <v>Road width decreased from 38m to 34m</v>
      </c>
      <c r="P8" s="63" t="s">
        <v>991</v>
      </c>
      <c r="Q8" s="67" t="s">
        <v>962</v>
      </c>
      <c r="R8" s="382"/>
      <c r="S8" s="67"/>
      <c r="T8" s="67"/>
    </row>
    <row r="9" spans="1:32" s="66" customFormat="1" ht="36" x14ac:dyDescent="0.2">
      <c r="A9" s="67" t="s">
        <v>225</v>
      </c>
      <c r="B9" s="67" t="s">
        <v>226</v>
      </c>
      <c r="C9" s="326" t="str">
        <f>'1.4.3 Transport'!B5</f>
        <v xml:space="preserve">Exford Road: East West Arterial (IT02) to Exford Road (IT03)
Re-construct existing 2-lane road to provide 2-lane arterial road (interim layout). 
Purchase land to increase reserve width from 20m to 34m (ultimate). </v>
      </c>
      <c r="D9" s="419">
        <v>600000</v>
      </c>
      <c r="E9" s="419">
        <v>1954992</v>
      </c>
      <c r="F9" s="419">
        <f t="shared" si="0"/>
        <v>2554992</v>
      </c>
      <c r="G9" s="67" t="s">
        <v>227</v>
      </c>
      <c r="H9" s="67" t="s">
        <v>228</v>
      </c>
      <c r="I9" s="67" t="s">
        <v>229</v>
      </c>
      <c r="J9" s="382"/>
      <c r="K9" s="67" t="str">
        <f>'1.4.3 Transport'!D5</f>
        <v>Land partially acquired
Road partially constructed</v>
      </c>
      <c r="L9" s="67" t="s">
        <v>562</v>
      </c>
      <c r="M9" s="382"/>
      <c r="N9" s="67" t="s">
        <v>627</v>
      </c>
      <c r="O9" s="67" t="str">
        <f>'1.4.3 Transport'!F5</f>
        <v>Road width decreased from 38m to 34m</v>
      </c>
      <c r="P9" s="63" t="s">
        <v>991</v>
      </c>
      <c r="Q9" s="67" t="s">
        <v>962</v>
      </c>
      <c r="R9" s="382"/>
      <c r="S9" s="67"/>
      <c r="T9" s="67"/>
    </row>
    <row r="10" spans="1:32" s="66" customFormat="1" ht="36" x14ac:dyDescent="0.2">
      <c r="A10" s="67" t="s">
        <v>230</v>
      </c>
      <c r="B10" s="67" t="s">
        <v>226</v>
      </c>
      <c r="C10" s="326" t="s">
        <v>554</v>
      </c>
      <c r="D10" s="419">
        <v>0</v>
      </c>
      <c r="E10" s="419">
        <v>7938</v>
      </c>
      <c r="F10" s="419">
        <f t="shared" si="0"/>
        <v>7938</v>
      </c>
      <c r="G10" s="67" t="s">
        <v>227</v>
      </c>
      <c r="H10" s="67" t="s">
        <v>228</v>
      </c>
      <c r="I10" s="67" t="s">
        <v>229</v>
      </c>
      <c r="J10" s="382"/>
      <c r="K10" s="67" t="str">
        <f>K9</f>
        <v>Land partially acquired
Road partially constructed</v>
      </c>
      <c r="L10" s="67" t="s">
        <v>562</v>
      </c>
      <c r="M10" s="382"/>
      <c r="N10" s="67" t="s">
        <v>627</v>
      </c>
      <c r="O10" s="67"/>
      <c r="P10" s="63" t="s">
        <v>991</v>
      </c>
      <c r="Q10" s="67"/>
      <c r="R10" s="382"/>
      <c r="S10" s="67"/>
      <c r="T10" s="67"/>
    </row>
    <row r="11" spans="1:32" s="66" customFormat="1" ht="36" x14ac:dyDescent="0.2">
      <c r="A11" s="67" t="s">
        <v>231</v>
      </c>
      <c r="B11" s="67" t="s">
        <v>226</v>
      </c>
      <c r="C11" s="326" t="str">
        <f>'1.4.3 Transport'!B6</f>
        <v xml:space="preserve">Exford Road: Exford Road (IT03) to Greigs Road (IT04)
Construction of a 2-lane arterial road (interim layout). 
Purchase land to increase reserve width from 20m to 34m (ultimate).  </v>
      </c>
      <c r="D11" s="419">
        <v>2395000</v>
      </c>
      <c r="E11" s="419">
        <v>13092554</v>
      </c>
      <c r="F11" s="419">
        <f t="shared" si="0"/>
        <v>15487554</v>
      </c>
      <c r="G11" s="67" t="s">
        <v>227</v>
      </c>
      <c r="H11" s="67" t="s">
        <v>228</v>
      </c>
      <c r="I11" s="67" t="s">
        <v>229</v>
      </c>
      <c r="J11" s="382"/>
      <c r="K11" s="67" t="str">
        <f>'1.4.3 Transport'!D6</f>
        <v>Land partially acquired
Road partially constructed</v>
      </c>
      <c r="L11" s="67" t="s">
        <v>562</v>
      </c>
      <c r="M11" s="382"/>
      <c r="N11" s="67" t="s">
        <v>627</v>
      </c>
      <c r="O11" s="67" t="str">
        <f>'1.4.3 Transport'!F6</f>
        <v>Road width increased from 31m to 34m</v>
      </c>
      <c r="P11" s="63" t="s">
        <v>991</v>
      </c>
      <c r="Q11" s="67" t="s">
        <v>962</v>
      </c>
      <c r="R11" s="382"/>
      <c r="S11" s="67"/>
      <c r="T11" s="67"/>
    </row>
    <row r="12" spans="1:32" s="66" customFormat="1" ht="36" x14ac:dyDescent="0.2">
      <c r="A12" s="67" t="s">
        <v>232</v>
      </c>
      <c r="B12" s="67" t="s">
        <v>226</v>
      </c>
      <c r="C12" s="326" t="s">
        <v>555</v>
      </c>
      <c r="D12" s="419">
        <v>0</v>
      </c>
      <c r="E12" s="419">
        <v>96841</v>
      </c>
      <c r="F12" s="419">
        <f t="shared" si="0"/>
        <v>96841</v>
      </c>
      <c r="G12" s="67" t="s">
        <v>227</v>
      </c>
      <c r="H12" s="67" t="s">
        <v>228</v>
      </c>
      <c r="I12" s="67" t="s">
        <v>229</v>
      </c>
      <c r="J12" s="382"/>
      <c r="K12" s="67" t="str">
        <f>K11</f>
        <v>Land partially acquired
Road partially constructed</v>
      </c>
      <c r="L12" s="67" t="s">
        <v>562</v>
      </c>
      <c r="M12" s="382"/>
      <c r="N12" s="67" t="s">
        <v>627</v>
      </c>
      <c r="O12" s="67"/>
      <c r="P12" s="63" t="s">
        <v>991</v>
      </c>
      <c r="Q12" s="67"/>
      <c r="R12" s="382"/>
      <c r="S12" s="67"/>
      <c r="T12" s="67"/>
    </row>
    <row r="13" spans="1:32" s="66" customFormat="1" ht="36" x14ac:dyDescent="0.2">
      <c r="A13" s="67" t="s">
        <v>233</v>
      </c>
      <c r="B13" s="67" t="s">
        <v>226</v>
      </c>
      <c r="C13" s="326" t="str">
        <f>'1.4.3 Transport'!B7</f>
        <v xml:space="preserve">Exford Road: Exford Road (IT03) to Toolern Creek (BD03)
Construction of a 2-lane arterial road (interim layout). 
Purchase land to increase reserve width from 0m to 34m (ultimate). </v>
      </c>
      <c r="D13" s="419">
        <v>1073016.8</v>
      </c>
      <c r="E13" s="419">
        <v>641228</v>
      </c>
      <c r="F13" s="419">
        <f t="shared" si="0"/>
        <v>1714244.8</v>
      </c>
      <c r="G13" s="67" t="s">
        <v>227</v>
      </c>
      <c r="H13" s="67" t="s">
        <v>228</v>
      </c>
      <c r="I13" s="67" t="s">
        <v>229</v>
      </c>
      <c r="J13" s="382"/>
      <c r="K13" s="67" t="str">
        <f>'1.4.3 Transport'!D7</f>
        <v>Land partially acquired</v>
      </c>
      <c r="L13" s="67" t="s">
        <v>562</v>
      </c>
      <c r="M13" s="382"/>
      <c r="N13" s="67" t="s">
        <v>627</v>
      </c>
      <c r="O13" s="67" t="str">
        <f>'1.4.3 Transport'!F7</f>
        <v>Road width decreased from 38m to 34m</v>
      </c>
      <c r="P13" s="63" t="s">
        <v>991</v>
      </c>
      <c r="Q13" s="67" t="s">
        <v>963</v>
      </c>
      <c r="R13" s="382"/>
      <c r="S13" s="67"/>
      <c r="T13" s="67"/>
    </row>
    <row r="14" spans="1:32" s="66" customFormat="1" ht="36" x14ac:dyDescent="0.2">
      <c r="A14" s="67" t="s">
        <v>234</v>
      </c>
      <c r="B14" s="67" t="s">
        <v>226</v>
      </c>
      <c r="C14" s="326" t="s">
        <v>969</v>
      </c>
      <c r="D14" s="419">
        <v>0</v>
      </c>
      <c r="E14" s="419">
        <v>144308</v>
      </c>
      <c r="F14" s="419">
        <f t="shared" si="0"/>
        <v>144308</v>
      </c>
      <c r="G14" s="67" t="s">
        <v>227</v>
      </c>
      <c r="H14" s="67" t="s">
        <v>228</v>
      </c>
      <c r="I14" s="67" t="s">
        <v>229</v>
      </c>
      <c r="J14" s="382"/>
      <c r="K14" s="67" t="str">
        <f>K13</f>
        <v>Land partially acquired</v>
      </c>
      <c r="L14" s="67" t="s">
        <v>562</v>
      </c>
      <c r="M14" s="382"/>
      <c r="N14" s="67" t="s">
        <v>627</v>
      </c>
      <c r="O14" s="67"/>
      <c r="P14" s="63" t="s">
        <v>991</v>
      </c>
      <c r="Q14" s="67"/>
      <c r="R14" s="382"/>
      <c r="S14" s="67"/>
      <c r="T14" s="67"/>
    </row>
    <row r="15" spans="1:32" s="66" customFormat="1" ht="36" x14ac:dyDescent="0.2">
      <c r="A15" s="67" t="s">
        <v>235</v>
      </c>
      <c r="B15" s="67" t="s">
        <v>226</v>
      </c>
      <c r="C15" s="326" t="str">
        <f>'1.4.3 Transport'!B8</f>
        <v xml:space="preserve">Exford Road: Toolern Creek (BD03) to Ferris Road (IT05)
Construction of a 2-lane arterial road (interim layout). 
Create road reserve 34m (ultimate).  </v>
      </c>
      <c r="D15" s="419">
        <v>1125000</v>
      </c>
      <c r="E15" s="419">
        <v>6751787</v>
      </c>
      <c r="F15" s="419">
        <f t="shared" si="0"/>
        <v>7876787</v>
      </c>
      <c r="G15" s="67" t="s">
        <v>227</v>
      </c>
      <c r="H15" s="67" t="s">
        <v>228</v>
      </c>
      <c r="I15" s="67" t="s">
        <v>229</v>
      </c>
      <c r="J15" s="382"/>
      <c r="K15" s="67" t="str">
        <f>'1.4.3 Transport'!D8</f>
        <v>Not commenced</v>
      </c>
      <c r="L15" s="67" t="s">
        <v>562</v>
      </c>
      <c r="M15" s="382"/>
      <c r="N15" s="67" t="s">
        <v>627</v>
      </c>
      <c r="O15" s="67" t="str">
        <f>'1.4.3 Transport'!F8</f>
        <v>Road width decreased from 38m to 34m</v>
      </c>
      <c r="P15" s="63" t="s">
        <v>991</v>
      </c>
      <c r="Q15" s="67" t="s">
        <v>962</v>
      </c>
      <c r="R15" s="382"/>
      <c r="S15" s="322">
        <v>4506670.5199999996</v>
      </c>
      <c r="T15" s="67"/>
    </row>
    <row r="16" spans="1:32" s="66" customFormat="1" ht="36" x14ac:dyDescent="0.2">
      <c r="A16" s="67" t="s">
        <v>236</v>
      </c>
      <c r="B16" s="67" t="s">
        <v>226</v>
      </c>
      <c r="C16" s="326" t="s">
        <v>970</v>
      </c>
      <c r="D16" s="419">
        <v>0</v>
      </c>
      <c r="E16" s="419">
        <v>3175</v>
      </c>
      <c r="F16" s="419">
        <f t="shared" si="0"/>
        <v>3175</v>
      </c>
      <c r="G16" s="67" t="s">
        <v>227</v>
      </c>
      <c r="H16" s="67" t="s">
        <v>228</v>
      </c>
      <c r="I16" s="67" t="s">
        <v>229</v>
      </c>
      <c r="J16" s="382"/>
      <c r="K16" s="67" t="str">
        <f>K15</f>
        <v>Not commenced</v>
      </c>
      <c r="L16" s="67" t="s">
        <v>562</v>
      </c>
      <c r="M16" s="382"/>
      <c r="N16" s="67" t="s">
        <v>627</v>
      </c>
      <c r="O16" s="67"/>
      <c r="P16" s="63" t="s">
        <v>991</v>
      </c>
      <c r="Q16" s="67"/>
      <c r="R16" s="382"/>
      <c r="S16" s="67"/>
      <c r="T16" s="67"/>
    </row>
    <row r="17" spans="1:20" s="66" customFormat="1" ht="36" x14ac:dyDescent="0.2">
      <c r="A17" s="67" t="s">
        <v>237</v>
      </c>
      <c r="B17" s="67" t="s">
        <v>226</v>
      </c>
      <c r="C17" s="326" t="str">
        <f>'1.4.3 Transport'!B9</f>
        <v xml:space="preserve">Exford Road: Ferris Road (IT05) to Mount Cottrell Road (IT06) 
Construction of a 2-lane arterial road. (interim layout).
Purchase land to increase reserve width from 0m to 34m (ultimate). </v>
      </c>
      <c r="D17" s="419">
        <v>3175000</v>
      </c>
      <c r="E17" s="419">
        <v>5615593</v>
      </c>
      <c r="F17" s="419">
        <f t="shared" si="0"/>
        <v>8790593</v>
      </c>
      <c r="G17" s="67" t="s">
        <v>227</v>
      </c>
      <c r="H17" s="67" t="s">
        <v>228</v>
      </c>
      <c r="I17" s="67" t="s">
        <v>229</v>
      </c>
      <c r="J17" s="382"/>
      <c r="K17" s="67" t="str">
        <f>'1.4.3 Transport'!D9</f>
        <v>Not commenced</v>
      </c>
      <c r="L17" s="67" t="s">
        <v>562</v>
      </c>
      <c r="M17" s="382"/>
      <c r="N17" s="67" t="s">
        <v>627</v>
      </c>
      <c r="O17" s="67" t="str">
        <f>'1.4.3 Transport'!F9</f>
        <v>Road width decreased from 38m to 34m</v>
      </c>
      <c r="P17" s="63" t="s">
        <v>991</v>
      </c>
      <c r="Q17" s="67" t="s">
        <v>962</v>
      </c>
      <c r="R17" s="382"/>
      <c r="S17" s="67"/>
      <c r="T17" s="67"/>
    </row>
    <row r="18" spans="1:20" s="66" customFormat="1" ht="36" x14ac:dyDescent="0.2">
      <c r="A18" s="67" t="s">
        <v>238</v>
      </c>
      <c r="B18" s="67" t="s">
        <v>226</v>
      </c>
      <c r="C18" s="326" t="s">
        <v>971</v>
      </c>
      <c r="D18" s="419">
        <v>0</v>
      </c>
      <c r="E18" s="419">
        <v>25401</v>
      </c>
      <c r="F18" s="419">
        <f t="shared" si="0"/>
        <v>25401</v>
      </c>
      <c r="G18" s="67" t="s">
        <v>227</v>
      </c>
      <c r="H18" s="67" t="s">
        <v>228</v>
      </c>
      <c r="I18" s="67" t="s">
        <v>229</v>
      </c>
      <c r="J18" s="382"/>
      <c r="K18" s="67" t="str">
        <f>K17</f>
        <v>Not commenced</v>
      </c>
      <c r="L18" s="67" t="s">
        <v>562</v>
      </c>
      <c r="M18" s="382"/>
      <c r="N18" s="67" t="s">
        <v>627</v>
      </c>
      <c r="O18" s="67"/>
      <c r="P18" s="63" t="s">
        <v>991</v>
      </c>
      <c r="Q18" s="67"/>
      <c r="R18" s="382"/>
      <c r="S18" s="67"/>
      <c r="T18" s="67"/>
    </row>
    <row r="19" spans="1:20" s="66" customFormat="1" ht="36" x14ac:dyDescent="0.2">
      <c r="A19" s="67" t="s">
        <v>239</v>
      </c>
      <c r="B19" s="67" t="s">
        <v>226</v>
      </c>
      <c r="C19" s="326" t="str">
        <f>'1.4.3 Transport'!B10</f>
        <v xml:space="preserve">Exford Road: Mount Cottrell Road (IT06) to Paynes Road (IT07)
Construction of a 2-lane arterial road (interim layout). 
Purchase land to increase reserve width to 0m to 45m (ultimate).  </v>
      </c>
      <c r="D19" s="419">
        <v>5175000</v>
      </c>
      <c r="E19" s="419">
        <v>7114863</v>
      </c>
      <c r="F19" s="419">
        <f t="shared" si="0"/>
        <v>12289863</v>
      </c>
      <c r="G19" s="67" t="s">
        <v>227</v>
      </c>
      <c r="H19" s="67" t="s">
        <v>228</v>
      </c>
      <c r="I19" s="67" t="s">
        <v>229</v>
      </c>
      <c r="J19" s="382"/>
      <c r="K19" s="67" t="str">
        <f>'1.4.3 Transport'!D10</f>
        <v>Not commenced</v>
      </c>
      <c r="L19" s="67" t="s">
        <v>562</v>
      </c>
      <c r="M19" s="382"/>
      <c r="N19" s="67" t="s">
        <v>627</v>
      </c>
      <c r="O19" s="67" t="str">
        <f>'1.4.3 Transport'!F10</f>
        <v>No change to road width (four lane road delivered within a 6 lane road reserve)</v>
      </c>
      <c r="P19" s="63" t="s">
        <v>991</v>
      </c>
      <c r="Q19" s="67" t="s">
        <v>962</v>
      </c>
      <c r="R19" s="382"/>
      <c r="S19" s="67"/>
      <c r="T19" s="67"/>
    </row>
    <row r="20" spans="1:20" s="66" customFormat="1" ht="36" x14ac:dyDescent="0.2">
      <c r="A20" s="67" t="s">
        <v>240</v>
      </c>
      <c r="B20" s="67" t="s">
        <v>226</v>
      </c>
      <c r="C20" s="326" t="s">
        <v>972</v>
      </c>
      <c r="D20" s="419">
        <v>0</v>
      </c>
      <c r="E20" s="419">
        <v>73107</v>
      </c>
      <c r="F20" s="419">
        <f t="shared" si="0"/>
        <v>73107</v>
      </c>
      <c r="G20" s="67" t="s">
        <v>227</v>
      </c>
      <c r="H20" s="67" t="s">
        <v>228</v>
      </c>
      <c r="I20" s="67" t="s">
        <v>229</v>
      </c>
      <c r="J20" s="382"/>
      <c r="K20" s="67" t="str">
        <f>K19</f>
        <v>Not commenced</v>
      </c>
      <c r="L20" s="67" t="s">
        <v>562</v>
      </c>
      <c r="M20" s="382"/>
      <c r="N20" s="67" t="s">
        <v>627</v>
      </c>
      <c r="O20" s="67"/>
      <c r="P20" s="63" t="s">
        <v>991</v>
      </c>
      <c r="Q20" s="67"/>
      <c r="R20" s="382"/>
      <c r="S20" s="67"/>
      <c r="T20" s="67"/>
    </row>
    <row r="21" spans="1:20" s="66" customFormat="1" ht="24" x14ac:dyDescent="0.2">
      <c r="A21" s="67" t="s">
        <v>241</v>
      </c>
      <c r="B21" s="67" t="s">
        <v>226</v>
      </c>
      <c r="C21" s="326" t="s">
        <v>548</v>
      </c>
      <c r="D21" s="419">
        <v>0</v>
      </c>
      <c r="E21" s="419">
        <v>0</v>
      </c>
      <c r="F21" s="419">
        <f t="shared" si="0"/>
        <v>0</v>
      </c>
      <c r="G21" s="67"/>
      <c r="H21" s="67"/>
      <c r="I21" s="67"/>
      <c r="J21" s="382"/>
      <c r="K21" s="67" t="str">
        <f>'1.4.3 Transport'!D11</f>
        <v>Project deleted as it is located in the Rockbank South PSP area</v>
      </c>
      <c r="L21" s="326"/>
      <c r="M21" s="382"/>
      <c r="N21" s="67"/>
      <c r="O21" s="67"/>
      <c r="P21" s="67"/>
      <c r="Q21" s="67"/>
      <c r="R21" s="382"/>
      <c r="S21" s="67"/>
      <c r="T21" s="323">
        <v>1842205</v>
      </c>
    </row>
    <row r="22" spans="1:20" s="66" customFormat="1" ht="24" x14ac:dyDescent="0.2">
      <c r="A22" s="67" t="s">
        <v>242</v>
      </c>
      <c r="B22" s="67" t="s">
        <v>226</v>
      </c>
      <c r="C22" s="326" t="s">
        <v>548</v>
      </c>
      <c r="D22" s="419">
        <v>0</v>
      </c>
      <c r="E22" s="419">
        <v>0</v>
      </c>
      <c r="F22" s="419">
        <v>0</v>
      </c>
      <c r="G22" s="67"/>
      <c r="H22" s="67"/>
      <c r="I22" s="67"/>
      <c r="J22" s="382"/>
      <c r="K22" s="67" t="str">
        <f>'1.4.3 Transport'!D12</f>
        <v>Project deleted as it is located in the Rockbank South PSP area</v>
      </c>
      <c r="L22" s="326"/>
      <c r="M22" s="382"/>
      <c r="N22" s="67"/>
      <c r="O22" s="67"/>
      <c r="P22" s="67"/>
      <c r="Q22" s="67"/>
      <c r="R22" s="382"/>
      <c r="S22" s="67"/>
      <c r="T22" s="323">
        <v>2665316</v>
      </c>
    </row>
    <row r="23" spans="1:20" s="66" customFormat="1" ht="48" x14ac:dyDescent="0.2">
      <c r="A23" s="67" t="s">
        <v>243</v>
      </c>
      <c r="B23" s="67" t="s">
        <v>226</v>
      </c>
      <c r="C23" s="326" t="str">
        <f>'1.4.3 Transport'!B13</f>
        <v xml:space="preserve">Mount Cottrell Road: Melbourne Ballarat Rail Line to PSP southern boundary
Construction of a 2-lane arterial road (interim layout).
Purchase land (including native vegetation re-alignment) to increase reserve width from 20m to 41m (ultimate).  </v>
      </c>
      <c r="D23" s="419">
        <v>1997500</v>
      </c>
      <c r="E23" s="419">
        <v>9307858</v>
      </c>
      <c r="F23" s="419">
        <f t="shared" si="0"/>
        <v>11305358</v>
      </c>
      <c r="G23" s="67" t="s">
        <v>227</v>
      </c>
      <c r="H23" s="67" t="s">
        <v>228</v>
      </c>
      <c r="I23" s="67" t="s">
        <v>229</v>
      </c>
      <c r="J23" s="382"/>
      <c r="K23" s="67" t="str">
        <f>'1.4.3 Transport'!D13</f>
        <v>Land partially acquired
Road partially constructed (north of IT26)</v>
      </c>
      <c r="L23" s="67" t="s">
        <v>562</v>
      </c>
      <c r="M23" s="382"/>
      <c r="N23" s="67" t="s">
        <v>627</v>
      </c>
      <c r="O23" s="67" t="str">
        <f>'1.4.3 Transport'!F13</f>
        <v>Road width decreased from 45m to 41m</v>
      </c>
      <c r="P23" s="63" t="s">
        <v>991</v>
      </c>
      <c r="Q23" s="67" t="s">
        <v>962</v>
      </c>
      <c r="R23" s="382"/>
      <c r="S23" s="67"/>
      <c r="T23" s="67"/>
    </row>
    <row r="24" spans="1:20" s="66" customFormat="1" ht="36" x14ac:dyDescent="0.2">
      <c r="A24" s="67" t="s">
        <v>244</v>
      </c>
      <c r="B24" s="67" t="s">
        <v>226</v>
      </c>
      <c r="C24" s="326" t="s">
        <v>556</v>
      </c>
      <c r="D24" s="419">
        <v>0</v>
      </c>
      <c r="E24" s="419">
        <v>18058</v>
      </c>
      <c r="F24" s="419">
        <f t="shared" si="0"/>
        <v>18058</v>
      </c>
      <c r="G24" s="67" t="s">
        <v>227</v>
      </c>
      <c r="H24" s="67" t="s">
        <v>228</v>
      </c>
      <c r="I24" s="67" t="s">
        <v>229</v>
      </c>
      <c r="J24" s="382"/>
      <c r="K24" s="67" t="str">
        <f>K23</f>
        <v>Land partially acquired
Road partially constructed (north of IT26)</v>
      </c>
      <c r="L24" s="67" t="s">
        <v>562</v>
      </c>
      <c r="M24" s="382"/>
      <c r="N24" s="67" t="s">
        <v>627</v>
      </c>
      <c r="O24" s="67"/>
      <c r="P24" s="63" t="s">
        <v>991</v>
      </c>
      <c r="Q24" s="67"/>
      <c r="R24" s="382"/>
      <c r="S24" s="67"/>
      <c r="T24" s="67"/>
    </row>
    <row r="25" spans="1:20" s="66" customFormat="1" ht="36" x14ac:dyDescent="0.2">
      <c r="A25" s="67" t="s">
        <v>245</v>
      </c>
      <c r="B25" s="67" t="s">
        <v>226</v>
      </c>
      <c r="C25" s="326" t="s">
        <v>557</v>
      </c>
      <c r="D25" s="419">
        <v>0</v>
      </c>
      <c r="E25" s="419">
        <v>5239</v>
      </c>
      <c r="F25" s="419">
        <f t="shared" si="0"/>
        <v>5239</v>
      </c>
      <c r="G25" s="67" t="s">
        <v>227</v>
      </c>
      <c r="H25" s="67" t="s">
        <v>228</v>
      </c>
      <c r="I25" s="67" t="s">
        <v>229</v>
      </c>
      <c r="J25" s="382"/>
      <c r="K25" s="67" t="str">
        <f>K23</f>
        <v>Land partially acquired
Road partially constructed (north of IT26)</v>
      </c>
      <c r="L25" s="67" t="s">
        <v>562</v>
      </c>
      <c r="M25" s="382"/>
      <c r="N25" s="67" t="s">
        <v>627</v>
      </c>
      <c r="O25" s="67"/>
      <c r="P25" s="63" t="s">
        <v>991</v>
      </c>
      <c r="Q25" s="67"/>
      <c r="R25" s="382"/>
      <c r="S25" s="67"/>
      <c r="T25" s="67"/>
    </row>
    <row r="26" spans="1:20" s="66" customFormat="1" ht="48" x14ac:dyDescent="0.2">
      <c r="A26" s="67" t="s">
        <v>246</v>
      </c>
      <c r="B26" s="67" t="s">
        <v>226</v>
      </c>
      <c r="C26" s="326" t="str">
        <f>'1.4.3 Transport'!B14</f>
        <v xml:space="preserve">Mount Cottrell Road: Western Freeway to Melbourne Ballarat Rail Line
Construction of a 2-lane arterial road (interim layout).
Purchase land (including native vegetation re-alignment) to increase reserve width from 20m to 41m (ultimate). </v>
      </c>
      <c r="D26" s="419">
        <v>450000</v>
      </c>
      <c r="E26" s="419">
        <v>7918239.5599999996</v>
      </c>
      <c r="F26" s="419">
        <f t="shared" si="0"/>
        <v>8368239.5599999996</v>
      </c>
      <c r="G26" s="67" t="s">
        <v>227</v>
      </c>
      <c r="H26" s="67" t="s">
        <v>228</v>
      </c>
      <c r="I26" s="67" t="s">
        <v>229</v>
      </c>
      <c r="J26" s="382"/>
      <c r="K26" s="67" t="str">
        <f>'1.4.3 Transport'!D14</f>
        <v>Constructed</v>
      </c>
      <c r="L26" s="321" t="s">
        <v>782</v>
      </c>
      <c r="M26" s="382"/>
      <c r="N26" s="67" t="s">
        <v>627</v>
      </c>
      <c r="O26" s="67" t="str">
        <f>'1.4.3 Transport'!F14</f>
        <v>Road width decreased from 45m to 41m</v>
      </c>
      <c r="P26" s="67" t="s">
        <v>749</v>
      </c>
      <c r="Q26" s="67" t="s">
        <v>962</v>
      </c>
      <c r="R26" s="382"/>
      <c r="S26" s="67"/>
      <c r="T26" s="67"/>
    </row>
    <row r="27" spans="1:20" s="66" customFormat="1" x14ac:dyDescent="0.2">
      <c r="A27" s="67" t="s">
        <v>727</v>
      </c>
      <c r="B27" s="67"/>
      <c r="C27" s="326" t="s">
        <v>728</v>
      </c>
      <c r="D27" s="419"/>
      <c r="E27" s="419"/>
      <c r="F27" s="419"/>
      <c r="G27" s="67"/>
      <c r="H27" s="67"/>
      <c r="I27" s="67"/>
      <c r="J27" s="382"/>
      <c r="K27" s="67" t="str">
        <f>'1.4.3 Transport'!D15</f>
        <v>This project was skipped in the Toolern DCP</v>
      </c>
      <c r="L27" s="67"/>
      <c r="M27" s="382"/>
      <c r="N27" s="67"/>
      <c r="O27" s="67"/>
      <c r="P27" s="67"/>
      <c r="Q27" s="67"/>
      <c r="R27" s="382"/>
      <c r="S27" s="67"/>
      <c r="T27" s="67"/>
    </row>
    <row r="28" spans="1:20" s="66" customFormat="1" ht="36" x14ac:dyDescent="0.2">
      <c r="A28" s="67" t="s">
        <v>247</v>
      </c>
      <c r="B28" s="67" t="s">
        <v>226</v>
      </c>
      <c r="C28" s="326" t="str">
        <f>'1.4.3 Transport'!B16</f>
        <v xml:space="preserve">Shogaki Drive: Ferris Road (IT13) to Industrial Connector Road (IT12)
Construction of a 2-lane arterial road (interim layout). 
Purchase land to increase reserve width from 40m to 45m (ultimate). </v>
      </c>
      <c r="D28" s="419">
        <v>275000</v>
      </c>
      <c r="E28" s="419">
        <v>5071142</v>
      </c>
      <c r="F28" s="419">
        <f t="shared" si="0"/>
        <v>5346142</v>
      </c>
      <c r="G28" s="67" t="s">
        <v>227</v>
      </c>
      <c r="H28" s="67" t="s">
        <v>228</v>
      </c>
      <c r="I28" s="67" t="s">
        <v>229</v>
      </c>
      <c r="J28" s="382"/>
      <c r="K28" s="67" t="str">
        <f>'1.4.3 Transport'!D16</f>
        <v>Not commenced</v>
      </c>
      <c r="L28" s="67" t="s">
        <v>562</v>
      </c>
      <c r="M28" s="382"/>
      <c r="N28" s="67" t="s">
        <v>627</v>
      </c>
      <c r="O28" s="67" t="str">
        <f>'1.4.3 Transport'!F16</f>
        <v>No change to ultimate road width proposed</v>
      </c>
      <c r="P28" s="63" t="s">
        <v>991</v>
      </c>
      <c r="Q28" s="67" t="s">
        <v>962</v>
      </c>
      <c r="R28" s="382"/>
      <c r="S28" s="67"/>
      <c r="T28" s="67"/>
    </row>
    <row r="29" spans="1:20" s="66" customFormat="1" ht="48" x14ac:dyDescent="0.2">
      <c r="A29" s="67" t="s">
        <v>248</v>
      </c>
      <c r="B29" s="67" t="s">
        <v>226</v>
      </c>
      <c r="C29" s="326" t="str">
        <f>'1.4.3 Transport'!B17</f>
        <v xml:space="preserve">Ferris Road: Western Freeway to Shogaki Drive (IT13) 
Construction of additional lane in either direction to existing 4-lane divided road to provide ultimate 6-lane divided arterial road (ultimate layout). 
Purchase land to increase reserve width from 34m to 45m (ultimate).  </v>
      </c>
      <c r="D29" s="419">
        <v>750000</v>
      </c>
      <c r="E29" s="419">
        <v>4731581</v>
      </c>
      <c r="F29" s="419">
        <f t="shared" si="0"/>
        <v>5481581</v>
      </c>
      <c r="G29" s="67" t="s">
        <v>227</v>
      </c>
      <c r="H29" s="67" t="s">
        <v>228</v>
      </c>
      <c r="I29" s="67" t="s">
        <v>229</v>
      </c>
      <c r="J29" s="382"/>
      <c r="K29" s="67" t="str">
        <f>'1.4.3 Transport'!D17</f>
        <v>Not commenced</v>
      </c>
      <c r="L29" s="67" t="s">
        <v>562</v>
      </c>
      <c r="M29" s="382"/>
      <c r="N29" s="67" t="s">
        <v>627</v>
      </c>
      <c r="O29" s="67" t="str">
        <f>'1.4.3 Transport'!F17</f>
        <v>No change to ultimate road width proposed</v>
      </c>
      <c r="P29" s="63" t="s">
        <v>991</v>
      </c>
      <c r="Q29" s="67" t="s">
        <v>962</v>
      </c>
      <c r="R29" s="382"/>
      <c r="S29" s="67"/>
      <c r="T29" s="67"/>
    </row>
    <row r="30" spans="1:20" s="66" customFormat="1" ht="36" x14ac:dyDescent="0.2">
      <c r="A30" s="67" t="s">
        <v>249</v>
      </c>
      <c r="B30" s="67" t="s">
        <v>226</v>
      </c>
      <c r="C30" s="326" t="str">
        <f>'1.4.3 Transport'!B18</f>
        <v xml:space="preserve">Ferris Road: Abey Road (IT13) to Melbourne Ballarat Rail Line
Construction of a 2-lane arterial road (interim layout). 
Purchase land to increase reserve width from 34m to 38m (ultimate). </v>
      </c>
      <c r="D30" s="419">
        <v>25000</v>
      </c>
      <c r="E30" s="419">
        <v>665655</v>
      </c>
      <c r="F30" s="419">
        <f t="shared" si="0"/>
        <v>690655</v>
      </c>
      <c r="G30" s="67" t="s">
        <v>227</v>
      </c>
      <c r="H30" s="67" t="s">
        <v>228</v>
      </c>
      <c r="I30" s="67" t="s">
        <v>229</v>
      </c>
      <c r="J30" s="382"/>
      <c r="K30" s="67" t="str">
        <f>'1.4.3 Transport'!D18</f>
        <v>Not commenced</v>
      </c>
      <c r="L30" s="67" t="s">
        <v>562</v>
      </c>
      <c r="M30" s="382"/>
      <c r="N30" s="67" t="s">
        <v>627</v>
      </c>
      <c r="O30" s="67" t="str">
        <f>'1.4.3 Transport'!F18</f>
        <v>No change to ultimate road width proposed</v>
      </c>
      <c r="P30" s="63" t="s">
        <v>991</v>
      </c>
      <c r="Q30" s="67" t="s">
        <v>962</v>
      </c>
      <c r="R30" s="382"/>
      <c r="S30" s="67"/>
      <c r="T30" s="67"/>
    </row>
    <row r="31" spans="1:20" s="66" customFormat="1" ht="48" x14ac:dyDescent="0.2">
      <c r="A31" s="67" t="s">
        <v>250</v>
      </c>
      <c r="B31" s="67" t="s">
        <v>226</v>
      </c>
      <c r="C31" s="326" t="str">
        <f>'1.4.3 Transport'!B19</f>
        <v xml:space="preserve">Ferris Road: Melbourne Ballarat Rail Line to Exford Road (IT05)
Construction of a 2-lane arterial road (interim layout). </v>
      </c>
      <c r="D31" s="419">
        <v>0</v>
      </c>
      <c r="E31" s="419">
        <v>10180594</v>
      </c>
      <c r="F31" s="419">
        <f t="shared" si="0"/>
        <v>10180594</v>
      </c>
      <c r="G31" s="67" t="s">
        <v>227</v>
      </c>
      <c r="H31" s="67" t="s">
        <v>228</v>
      </c>
      <c r="I31" s="67" t="s">
        <v>229</v>
      </c>
      <c r="J31" s="382"/>
      <c r="K31" s="67" t="str">
        <f>'1.4.3 Transport'!D19</f>
        <v>Partially constructed (Railway Line to Alfred Road)
Under construction (Alfred Road to Exford Road)</v>
      </c>
      <c r="L31" s="67" t="s">
        <v>562</v>
      </c>
      <c r="M31" s="382"/>
      <c r="N31" s="67" t="s">
        <v>627</v>
      </c>
      <c r="O31" s="67" t="str">
        <f>'1.4.3 Transport'!F19</f>
        <v>No change to ultimate road width proposed</v>
      </c>
      <c r="P31" s="63" t="s">
        <v>991</v>
      </c>
      <c r="Q31" s="67" t="s">
        <v>962</v>
      </c>
      <c r="R31" s="382"/>
      <c r="S31" s="67"/>
      <c r="T31" s="67"/>
    </row>
    <row r="32" spans="1:20" s="66" customFormat="1" ht="48" x14ac:dyDescent="0.2">
      <c r="A32" s="67" t="s">
        <v>251</v>
      </c>
      <c r="B32" s="67" t="s">
        <v>226</v>
      </c>
      <c r="C32" s="326" t="s">
        <v>961</v>
      </c>
      <c r="D32" s="419">
        <v>0</v>
      </c>
      <c r="E32" s="419">
        <v>3175</v>
      </c>
      <c r="F32" s="419">
        <f t="shared" si="0"/>
        <v>3175</v>
      </c>
      <c r="G32" s="67" t="s">
        <v>227</v>
      </c>
      <c r="H32" s="67" t="s">
        <v>228</v>
      </c>
      <c r="I32" s="67" t="s">
        <v>229</v>
      </c>
      <c r="J32" s="382"/>
      <c r="K32" s="67" t="str">
        <f>K31</f>
        <v>Partially constructed (Railway Line to Alfred Road)
Under construction (Alfred Road to Exford Road)</v>
      </c>
      <c r="L32" s="67" t="s">
        <v>562</v>
      </c>
      <c r="M32" s="382"/>
      <c r="N32" s="67" t="s">
        <v>627</v>
      </c>
      <c r="O32" s="67"/>
      <c r="P32" s="63" t="s">
        <v>991</v>
      </c>
      <c r="Q32" s="67"/>
      <c r="R32" s="382"/>
      <c r="S32" s="67"/>
      <c r="T32" s="67"/>
    </row>
    <row r="33" spans="1:32" s="66" customFormat="1" ht="36" x14ac:dyDescent="0.2">
      <c r="A33" s="67" t="s">
        <v>252</v>
      </c>
      <c r="B33" s="67" t="s">
        <v>226</v>
      </c>
      <c r="C33" s="326" t="str">
        <f>'1.4.3 Transport'!B20</f>
        <v xml:space="preserve">Abey Road: Toolern Creek (BD01) to Ferris Road (IT13) 
Construction of a 2-lane arterial road (interim layout).
Purchase land to increase reserve with from 19m to 38m (ultimate).  </v>
      </c>
      <c r="D33" s="419">
        <v>362143.17</v>
      </c>
      <c r="E33" s="419">
        <v>10180593.73</v>
      </c>
      <c r="F33" s="419">
        <f t="shared" si="0"/>
        <v>10542736.9</v>
      </c>
      <c r="G33" s="67" t="s">
        <v>227</v>
      </c>
      <c r="H33" s="67" t="s">
        <v>228</v>
      </c>
      <c r="I33" s="67" t="s">
        <v>229</v>
      </c>
      <c r="J33" s="382"/>
      <c r="K33" s="67" t="str">
        <f>'1.4.3 Transport'!D20</f>
        <v>Constructed</v>
      </c>
      <c r="L33" s="321" t="s">
        <v>782</v>
      </c>
      <c r="M33" s="382"/>
      <c r="N33" s="67" t="s">
        <v>627</v>
      </c>
      <c r="O33" s="67" t="str">
        <f>'1.4.3 Transport'!F20</f>
        <v>No change to ultimate road width proposed</v>
      </c>
      <c r="P33" s="67" t="s">
        <v>669</v>
      </c>
      <c r="Q33" s="67" t="s">
        <v>963</v>
      </c>
      <c r="R33" s="382"/>
      <c r="S33" s="67"/>
      <c r="T33" s="67"/>
    </row>
    <row r="34" spans="1:32" s="66" customFormat="1" ht="36" x14ac:dyDescent="0.2">
      <c r="A34" s="67" t="s">
        <v>253</v>
      </c>
      <c r="B34" s="67" t="s">
        <v>226</v>
      </c>
      <c r="C34" s="326" t="s">
        <v>558</v>
      </c>
      <c r="D34" s="419">
        <v>0</v>
      </c>
      <c r="E34" s="419">
        <v>537.12</v>
      </c>
      <c r="F34" s="419">
        <f t="shared" si="0"/>
        <v>537.12</v>
      </c>
      <c r="G34" s="67" t="s">
        <v>227</v>
      </c>
      <c r="H34" s="67" t="s">
        <v>228</v>
      </c>
      <c r="I34" s="67" t="s">
        <v>229</v>
      </c>
      <c r="J34" s="382"/>
      <c r="K34" s="67" t="str">
        <f>K33</f>
        <v>Constructed</v>
      </c>
      <c r="L34" s="321" t="s">
        <v>782</v>
      </c>
      <c r="M34" s="382"/>
      <c r="N34" s="67" t="s">
        <v>627</v>
      </c>
      <c r="O34" s="67"/>
      <c r="P34" s="67" t="s">
        <v>669</v>
      </c>
      <c r="Q34" s="67"/>
      <c r="R34" s="382"/>
      <c r="S34" s="67"/>
      <c r="T34" s="67"/>
    </row>
    <row r="35" spans="1:32" s="66" customFormat="1" ht="36" x14ac:dyDescent="0.2">
      <c r="A35" s="67" t="s">
        <v>254</v>
      </c>
      <c r="B35" s="67" t="s">
        <v>226</v>
      </c>
      <c r="C35" s="326" t="s">
        <v>559</v>
      </c>
      <c r="D35" s="419">
        <v>0</v>
      </c>
      <c r="E35" s="419">
        <v>44231.92</v>
      </c>
      <c r="F35" s="419">
        <f t="shared" si="0"/>
        <v>44231.92</v>
      </c>
      <c r="G35" s="67" t="s">
        <v>227</v>
      </c>
      <c r="H35" s="67" t="s">
        <v>228</v>
      </c>
      <c r="I35" s="67" t="s">
        <v>229</v>
      </c>
      <c r="J35" s="382"/>
      <c r="K35" s="67" t="str">
        <f>K33</f>
        <v>Constructed</v>
      </c>
      <c r="L35" s="321" t="s">
        <v>782</v>
      </c>
      <c r="M35" s="382"/>
      <c r="N35" s="67" t="s">
        <v>627</v>
      </c>
      <c r="O35" s="67"/>
      <c r="P35" s="67" t="s">
        <v>669</v>
      </c>
      <c r="Q35" s="67"/>
      <c r="R35" s="382"/>
      <c r="S35" s="67"/>
      <c r="T35" s="67"/>
    </row>
    <row r="36" spans="1:32" s="66" customFormat="1" ht="36" x14ac:dyDescent="0.2">
      <c r="A36" s="67" t="s">
        <v>255</v>
      </c>
      <c r="B36" s="67" t="s">
        <v>226</v>
      </c>
      <c r="C36" s="326" t="str">
        <f>'1.4.3 Transport'!B21</f>
        <v xml:space="preserve">Shogaki Drive: Industrial Connector Road (IT12) to Mount Cottrell Road (IT10)
Construction of a 2-lane arterial road (interim layout). 
Purchase land to increase reserve width from 0m to 45m (ultimate). </v>
      </c>
      <c r="D36" s="419">
        <v>1925000</v>
      </c>
      <c r="E36" s="419">
        <v>4433597</v>
      </c>
      <c r="F36" s="419">
        <f t="shared" si="0"/>
        <v>6358597</v>
      </c>
      <c r="G36" s="67" t="s">
        <v>227</v>
      </c>
      <c r="H36" s="67" t="s">
        <v>228</v>
      </c>
      <c r="I36" s="67" t="s">
        <v>229</v>
      </c>
      <c r="J36" s="382"/>
      <c r="K36" s="67" t="str">
        <f>'1.4.3 Transport'!D21</f>
        <v>Not commenced</v>
      </c>
      <c r="L36" s="67" t="s">
        <v>562</v>
      </c>
      <c r="M36" s="382"/>
      <c r="N36" s="67" t="s">
        <v>627</v>
      </c>
      <c r="O36" s="67" t="str">
        <f>'1.4.3 Transport'!F21</f>
        <v>No change to ultimate road width proposed</v>
      </c>
      <c r="P36" s="63" t="s">
        <v>991</v>
      </c>
      <c r="Q36" s="67"/>
      <c r="R36" s="382"/>
      <c r="S36" s="67"/>
      <c r="T36" s="67"/>
    </row>
    <row r="37" spans="1:32" s="66" customFormat="1" ht="36" x14ac:dyDescent="0.2">
      <c r="A37" s="67" t="s">
        <v>256</v>
      </c>
      <c r="B37" s="67" t="s">
        <v>226</v>
      </c>
      <c r="C37" s="326" t="s">
        <v>560</v>
      </c>
      <c r="D37" s="419">
        <v>0</v>
      </c>
      <c r="E37" s="419">
        <v>15479</v>
      </c>
      <c r="F37" s="419">
        <f t="shared" si="0"/>
        <v>15479</v>
      </c>
      <c r="G37" s="67" t="s">
        <v>227</v>
      </c>
      <c r="H37" s="67" t="s">
        <v>228</v>
      </c>
      <c r="I37" s="67" t="s">
        <v>229</v>
      </c>
      <c r="J37" s="382"/>
      <c r="K37" s="67" t="str">
        <f>K36</f>
        <v>Not commenced</v>
      </c>
      <c r="L37" s="67" t="s">
        <v>562</v>
      </c>
      <c r="M37" s="382"/>
      <c r="N37" s="67" t="s">
        <v>627</v>
      </c>
      <c r="O37" s="67"/>
      <c r="P37" s="63" t="s">
        <v>991</v>
      </c>
      <c r="Q37" s="67"/>
      <c r="R37" s="382"/>
      <c r="S37" s="67"/>
      <c r="T37" s="67"/>
    </row>
    <row r="38" spans="1:32" s="66" customFormat="1" ht="36" x14ac:dyDescent="0.2">
      <c r="A38" s="67" t="s">
        <v>257</v>
      </c>
      <c r="B38" s="67" t="s">
        <v>226</v>
      </c>
      <c r="C38" s="326" t="str">
        <f>'1.4.3 Transport'!B22</f>
        <v xml:space="preserve">Ferris Road: Melbourne Ballarat Rail Line to Exford Road (IT05)
Purchase land to increase reserve width from 20m to 38m, for road section on Property 30 only. </v>
      </c>
      <c r="D38" s="419">
        <v>650000</v>
      </c>
      <c r="E38" s="419">
        <v>0</v>
      </c>
      <c r="F38" s="419">
        <f t="shared" si="0"/>
        <v>650000</v>
      </c>
      <c r="G38" s="67" t="s">
        <v>227</v>
      </c>
      <c r="H38" s="67" t="s">
        <v>228</v>
      </c>
      <c r="I38" s="67" t="s">
        <v>229</v>
      </c>
      <c r="J38" s="382"/>
      <c r="K38" s="67" t="str">
        <f>'1.4.3 Transport'!D22</f>
        <v>Land acquired</v>
      </c>
      <c r="L38" s="321"/>
      <c r="M38" s="382"/>
      <c r="N38" s="67" t="s">
        <v>627</v>
      </c>
      <c r="O38" s="67" t="str">
        <f>'1.4.3 Transport'!F22</f>
        <v>No change to ultimate road width proposed</v>
      </c>
      <c r="P38" s="67" t="s">
        <v>668</v>
      </c>
      <c r="Q38" s="67" t="s">
        <v>963</v>
      </c>
      <c r="R38" s="382"/>
      <c r="S38" s="67"/>
      <c r="T38" s="67"/>
    </row>
    <row r="39" spans="1:32" s="66" customFormat="1" ht="36" x14ac:dyDescent="0.2">
      <c r="A39" s="67" t="s">
        <v>258</v>
      </c>
      <c r="B39" s="67" t="s">
        <v>226</v>
      </c>
      <c r="C39" s="326" t="s">
        <v>960</v>
      </c>
      <c r="D39" s="419">
        <v>0</v>
      </c>
      <c r="E39" s="419">
        <v>725.11</v>
      </c>
      <c r="F39" s="419">
        <f t="shared" si="0"/>
        <v>725.11</v>
      </c>
      <c r="G39" s="67" t="s">
        <v>227</v>
      </c>
      <c r="H39" s="67" t="s">
        <v>228</v>
      </c>
      <c r="I39" s="67" t="s">
        <v>229</v>
      </c>
      <c r="J39" s="382"/>
      <c r="K39" s="67" t="str">
        <f>K38</f>
        <v>Land acquired</v>
      </c>
      <c r="L39" s="321" t="s">
        <v>782</v>
      </c>
      <c r="M39" s="382"/>
      <c r="N39" s="67" t="s">
        <v>627</v>
      </c>
      <c r="O39" s="67"/>
      <c r="P39" s="63" t="s">
        <v>991</v>
      </c>
      <c r="Q39" s="67"/>
      <c r="R39" s="382"/>
      <c r="S39" s="67"/>
      <c r="T39" s="67"/>
    </row>
    <row r="40" spans="1:32" s="66" customFormat="1" ht="36" x14ac:dyDescent="0.2">
      <c r="A40" s="67" t="s">
        <v>259</v>
      </c>
      <c r="B40" s="67" t="s">
        <v>226</v>
      </c>
      <c r="C40" s="326" t="str">
        <f>'1.4.3 Transport'!B23</f>
        <v xml:space="preserve">Ferris Road: Melbourne Ballarat Rail Line to Exford Road (IT05)
Purchase land to increase reserve width from 20m to 38m, for balance of required land (excluding Property 30). </v>
      </c>
      <c r="D40" s="419">
        <v>1925000</v>
      </c>
      <c r="E40" s="419">
        <v>0</v>
      </c>
      <c r="F40" s="419">
        <f t="shared" si="0"/>
        <v>1925000</v>
      </c>
      <c r="G40" s="67" t="s">
        <v>227</v>
      </c>
      <c r="H40" s="67" t="s">
        <v>228</v>
      </c>
      <c r="I40" s="67" t="s">
        <v>229</v>
      </c>
      <c r="J40" s="382"/>
      <c r="K40" s="67" t="str">
        <f>'1.4.3 Transport'!D23</f>
        <v>Not commenced</v>
      </c>
      <c r="L40" s="67" t="s">
        <v>562</v>
      </c>
      <c r="M40" s="382"/>
      <c r="N40" s="67" t="s">
        <v>627</v>
      </c>
      <c r="O40" s="67" t="str">
        <f>'1.4.3 Transport'!F23</f>
        <v>No change to ultimate road width proposed</v>
      </c>
      <c r="P40" s="67" t="s">
        <v>668</v>
      </c>
      <c r="Q40" s="67" t="s">
        <v>963</v>
      </c>
      <c r="R40" s="382"/>
      <c r="S40" s="322">
        <v>2435465.75</v>
      </c>
      <c r="T40" s="67"/>
    </row>
    <row r="41" spans="1:32" s="66" customFormat="1" ht="24" x14ac:dyDescent="0.2">
      <c r="A41" s="67" t="s">
        <v>511</v>
      </c>
      <c r="B41" s="67" t="s">
        <v>226</v>
      </c>
      <c r="C41" s="326" t="str">
        <f>'1.4.3 Transport'!B24</f>
        <v>Paynes Road: Alfred Road (IT30) to East-West Connector Road 1 (IT31)
Construction of a 2-lane arterial road (interim standard).</v>
      </c>
      <c r="D41" s="419">
        <v>0</v>
      </c>
      <c r="E41" s="419">
        <v>1398690.31</v>
      </c>
      <c r="F41" s="419">
        <f t="shared" si="0"/>
        <v>1398690.31</v>
      </c>
      <c r="G41" s="67" t="s">
        <v>227</v>
      </c>
      <c r="H41" s="67" t="s">
        <v>228</v>
      </c>
      <c r="I41" s="67" t="s">
        <v>564</v>
      </c>
      <c r="J41" s="382"/>
      <c r="K41" s="67" t="str">
        <f>'1.4.3 Transport'!D24</f>
        <v>New project from Rockbank DCP - RD06</v>
      </c>
      <c r="L41" s="321" t="s">
        <v>782</v>
      </c>
      <c r="M41" s="382"/>
      <c r="N41" s="67"/>
      <c r="O41" s="67" t="str">
        <f>'1.4.3 Transport'!E24</f>
        <v>Missing road project from the Rockbank Development Contributions Plan.</v>
      </c>
      <c r="P41" s="67" t="s">
        <v>666</v>
      </c>
      <c r="Q41" s="67"/>
      <c r="R41" s="382"/>
      <c r="S41" s="67"/>
      <c r="T41" s="67"/>
    </row>
    <row r="42" spans="1:32" s="66" customFormat="1" ht="24" x14ac:dyDescent="0.2">
      <c r="A42" s="67" t="s">
        <v>512</v>
      </c>
      <c r="B42" s="67" t="s">
        <v>226</v>
      </c>
      <c r="C42" s="326" t="str">
        <f>'1.4.3 Transport'!B25</f>
        <v>Paynes Road: East-West Connector Road 1 (IT31) to Exford Road (IT07)
Construction of a 2-lane arterial road (interim standard).</v>
      </c>
      <c r="D42" s="419">
        <v>0</v>
      </c>
      <c r="E42" s="419">
        <v>1791460.71</v>
      </c>
      <c r="F42" s="419">
        <f t="shared" si="0"/>
        <v>1791460.71</v>
      </c>
      <c r="G42" s="67" t="s">
        <v>227</v>
      </c>
      <c r="H42" s="67" t="s">
        <v>228</v>
      </c>
      <c r="I42" s="67" t="s">
        <v>229</v>
      </c>
      <c r="J42" s="382"/>
      <c r="K42" s="67" t="str">
        <f>'1.4.3 Transport'!D25</f>
        <v>New project from Rockbank DCP - RD07</v>
      </c>
      <c r="L42" s="321" t="s">
        <v>782</v>
      </c>
      <c r="M42" s="382"/>
      <c r="N42" s="67"/>
      <c r="O42" s="67" t="str">
        <f>'1.4.3 Transport'!E25</f>
        <v>Missing road project from the Rockbank Development Contributions Plan.</v>
      </c>
      <c r="P42" s="67" t="s">
        <v>666</v>
      </c>
      <c r="Q42" s="67"/>
      <c r="R42" s="382"/>
      <c r="S42" s="67"/>
      <c r="T42" s="67"/>
    </row>
    <row r="43" spans="1:32" s="66" customFormat="1" ht="24" x14ac:dyDescent="0.2">
      <c r="A43" s="67" t="s">
        <v>513</v>
      </c>
      <c r="B43" s="67" t="s">
        <v>226</v>
      </c>
      <c r="C43" s="326" t="str">
        <f>'1.4.3 Transport'!B26</f>
        <v>Paynes Road: Exford Road (IT07) to East-West Connector Road 2 (IT32)
Construction of a 2-lane arterial road (interim standard).</v>
      </c>
      <c r="D43" s="419">
        <v>0</v>
      </c>
      <c r="E43" s="419">
        <v>948155.29</v>
      </c>
      <c r="F43" s="419">
        <f t="shared" si="0"/>
        <v>948155.29</v>
      </c>
      <c r="G43" s="67" t="s">
        <v>227</v>
      </c>
      <c r="H43" s="67" t="s">
        <v>228</v>
      </c>
      <c r="I43" s="67" t="s">
        <v>229</v>
      </c>
      <c r="J43" s="382"/>
      <c r="K43" s="67" t="str">
        <f>'1.4.3 Transport'!D26</f>
        <v>New project from Rockbank DCP - RD08</v>
      </c>
      <c r="L43" s="321" t="s">
        <v>782</v>
      </c>
      <c r="M43" s="382"/>
      <c r="N43" s="67"/>
      <c r="O43" s="67" t="str">
        <f>'1.4.3 Transport'!E26</f>
        <v>Missing road project from the Rockbank Development Contributions Plan.</v>
      </c>
      <c r="P43" s="67" t="s">
        <v>666</v>
      </c>
      <c r="Q43" s="67"/>
      <c r="R43" s="382"/>
      <c r="S43" s="67"/>
      <c r="T43" s="67"/>
    </row>
    <row r="44" spans="1:32" s="64" customFormat="1" x14ac:dyDescent="0.2">
      <c r="A44" s="383" t="s">
        <v>14</v>
      </c>
      <c r="B44" s="383"/>
      <c r="C44" s="383"/>
      <c r="D44" s="389">
        <f>SUM(D6:D43)</f>
        <v>23731381.970000003</v>
      </c>
      <c r="E44" s="389">
        <f>SUM(E6:E43)</f>
        <v>97597515.750000015</v>
      </c>
      <c r="F44" s="389">
        <f>SUM(F6:F43)</f>
        <v>121328897.72000001</v>
      </c>
      <c r="G44" s="236"/>
      <c r="H44" s="236"/>
      <c r="I44" s="236"/>
      <c r="J44" s="391"/>
      <c r="K44" s="65"/>
      <c r="L44" s="394"/>
      <c r="M44" s="383"/>
      <c r="N44" s="65"/>
      <c r="O44" s="65"/>
      <c r="P44" s="65"/>
      <c r="Q44" s="65"/>
      <c r="R44" s="391"/>
      <c r="S44" s="65"/>
      <c r="T44" s="65"/>
    </row>
    <row r="45" spans="1:32" s="62" customFormat="1" x14ac:dyDescent="0.2">
      <c r="A45" s="418" t="s">
        <v>260</v>
      </c>
      <c r="B45" s="58"/>
      <c r="C45" s="58"/>
      <c r="D45" s="304"/>
      <c r="E45" s="304"/>
      <c r="F45" s="304"/>
      <c r="G45" s="58"/>
      <c r="H45" s="58"/>
      <c r="I45" s="58"/>
      <c r="J45" s="81"/>
      <c r="K45" s="58"/>
      <c r="L45" s="58"/>
      <c r="M45" s="192"/>
      <c r="N45" s="82"/>
      <c r="O45" s="58"/>
      <c r="P45" s="58"/>
      <c r="Q45" s="58"/>
      <c r="R45" s="477"/>
      <c r="S45" s="58"/>
      <c r="T45" s="58"/>
      <c r="U45" s="59"/>
      <c r="V45" s="58"/>
      <c r="W45" s="58"/>
      <c r="X45" s="58"/>
      <c r="Y45" s="58"/>
      <c r="Z45" s="60"/>
      <c r="AA45" s="60"/>
      <c r="AB45" s="60"/>
      <c r="AC45" s="60"/>
      <c r="AD45" s="60"/>
      <c r="AE45" s="60"/>
      <c r="AF45" s="61"/>
    </row>
    <row r="46" spans="1:32" s="66" customFormat="1" ht="36" x14ac:dyDescent="0.2">
      <c r="A46" s="67" t="s">
        <v>261</v>
      </c>
      <c r="B46" s="67" t="s">
        <v>226</v>
      </c>
      <c r="C46" s="326" t="str">
        <f>'1.4.3 Transport'!B28</f>
        <v>Intersection: Rees Road and East West Arterial
Construction of signalised 4-way intersection (interim standard).</v>
      </c>
      <c r="D46" s="419">
        <v>675000</v>
      </c>
      <c r="E46" s="419">
        <v>4832428</v>
      </c>
      <c r="F46" s="419">
        <f>SUM(D46:E46)</f>
        <v>5507428</v>
      </c>
      <c r="G46" s="67" t="s">
        <v>227</v>
      </c>
      <c r="H46" s="67" t="s">
        <v>228</v>
      </c>
      <c r="I46" s="67" t="s">
        <v>966</v>
      </c>
      <c r="J46" s="382"/>
      <c r="K46" s="67" t="str">
        <f>'1.4.3 Transport'!D28</f>
        <v>Not commenced</v>
      </c>
      <c r="L46" s="67" t="s">
        <v>562</v>
      </c>
      <c r="M46" s="382"/>
      <c r="N46" s="67" t="s">
        <v>627</v>
      </c>
      <c r="O46" s="67"/>
      <c r="P46" s="63" t="s">
        <v>991</v>
      </c>
      <c r="Q46" s="67" t="s">
        <v>962</v>
      </c>
      <c r="R46" s="382"/>
      <c r="S46" s="67"/>
      <c r="T46" s="67"/>
    </row>
    <row r="47" spans="1:32" s="66" customFormat="1" ht="36" x14ac:dyDescent="0.2">
      <c r="A47" s="67" t="s">
        <v>262</v>
      </c>
      <c r="B47" s="67" t="s">
        <v>226</v>
      </c>
      <c r="C47" s="326" t="str">
        <f>'1.4.3 Transport'!B29</f>
        <v xml:space="preserve">Intersection: East West Arterial and Exford Road
Construction of signalised T-intersection (interim standard). </v>
      </c>
      <c r="D47" s="419">
        <v>1010000</v>
      </c>
      <c r="E47" s="419">
        <v>6003029</v>
      </c>
      <c r="F47" s="419">
        <f t="shared" ref="F47:F77" si="1">SUM(D47:E47)</f>
        <v>7013029</v>
      </c>
      <c r="G47" s="67" t="s">
        <v>227</v>
      </c>
      <c r="H47" s="67" t="s">
        <v>228</v>
      </c>
      <c r="I47" s="67" t="s">
        <v>229</v>
      </c>
      <c r="J47" s="382"/>
      <c r="K47" s="67" t="str">
        <f>'1.4.3 Transport'!D29</f>
        <v>Not commenced</v>
      </c>
      <c r="L47" s="67" t="s">
        <v>562</v>
      </c>
      <c r="M47" s="382"/>
      <c r="N47" s="67" t="s">
        <v>627</v>
      </c>
      <c r="O47" s="67"/>
      <c r="P47" s="63" t="s">
        <v>991</v>
      </c>
      <c r="Q47" s="67" t="s">
        <v>962</v>
      </c>
      <c r="R47" s="382"/>
      <c r="S47" s="67"/>
      <c r="T47" s="67"/>
    </row>
    <row r="48" spans="1:32" s="66" customFormat="1" ht="36" x14ac:dyDescent="0.2">
      <c r="A48" s="67" t="s">
        <v>263</v>
      </c>
      <c r="B48" s="67" t="s">
        <v>226</v>
      </c>
      <c r="C48" s="326" t="str">
        <f>'1.4.3 Transport'!B30</f>
        <v>Intersection: Exford Road and Exford Road
Construction of signalised T-intersection (interim standard).</v>
      </c>
      <c r="D48" s="419">
        <v>2500000</v>
      </c>
      <c r="E48" s="419">
        <v>8928408</v>
      </c>
      <c r="F48" s="419">
        <f t="shared" si="1"/>
        <v>11428408</v>
      </c>
      <c r="G48" s="67" t="s">
        <v>227</v>
      </c>
      <c r="H48" s="67" t="s">
        <v>228</v>
      </c>
      <c r="I48" s="67" t="s">
        <v>229</v>
      </c>
      <c r="J48" s="382"/>
      <c r="K48" s="67" t="str">
        <f>'1.4.3 Transport'!D30</f>
        <v>Not commenced</v>
      </c>
      <c r="L48" s="67" t="s">
        <v>562</v>
      </c>
      <c r="M48" s="382"/>
      <c r="N48" s="67" t="s">
        <v>627</v>
      </c>
      <c r="O48" s="67"/>
      <c r="P48" s="63" t="s">
        <v>991</v>
      </c>
      <c r="Q48" s="67" t="s">
        <v>962</v>
      </c>
      <c r="R48" s="382"/>
      <c r="S48" s="67"/>
      <c r="T48" s="67"/>
    </row>
    <row r="49" spans="1:20" s="66" customFormat="1" ht="36" x14ac:dyDescent="0.2">
      <c r="A49" s="67" t="s">
        <v>264</v>
      </c>
      <c r="B49" s="67" t="s">
        <v>226</v>
      </c>
      <c r="C49" s="326" t="str">
        <f>'1.4.3 Transport'!B31</f>
        <v xml:space="preserve">Intersection: Exford Road and Greigs Road
Upgrade of protected right-turn lane and left-turn deceleration lane, including drainage and landscaping.  </v>
      </c>
      <c r="D49" s="419">
        <v>350000</v>
      </c>
      <c r="E49" s="419">
        <v>2686264</v>
      </c>
      <c r="F49" s="419">
        <f t="shared" si="1"/>
        <v>3036264</v>
      </c>
      <c r="G49" s="67" t="s">
        <v>227</v>
      </c>
      <c r="H49" s="67" t="s">
        <v>228</v>
      </c>
      <c r="I49" s="67" t="s">
        <v>229</v>
      </c>
      <c r="J49" s="382"/>
      <c r="K49" s="67" t="str">
        <f>'1.4.3 Transport'!D31</f>
        <v>Not commenced</v>
      </c>
      <c r="L49" s="67" t="s">
        <v>562</v>
      </c>
      <c r="M49" s="382"/>
      <c r="N49" s="67" t="s">
        <v>627</v>
      </c>
      <c r="O49" s="67"/>
      <c r="P49" s="63" t="s">
        <v>991</v>
      </c>
      <c r="Q49" s="67" t="s">
        <v>962</v>
      </c>
      <c r="R49" s="382"/>
      <c r="S49" s="67"/>
      <c r="T49" s="67"/>
    </row>
    <row r="50" spans="1:20" s="66" customFormat="1" ht="36" x14ac:dyDescent="0.2">
      <c r="A50" s="67" t="s">
        <v>265</v>
      </c>
      <c r="B50" s="67" t="s">
        <v>226</v>
      </c>
      <c r="C50" s="326" t="str">
        <f>'1.4.3 Transport'!B32</f>
        <v>Intersection: Exford Road and Ferris Road
Purchase of land and construction of signalised 4-way intersection (interim standard).</v>
      </c>
      <c r="D50" s="419">
        <v>2450000</v>
      </c>
      <c r="E50" s="419">
        <v>9032022</v>
      </c>
      <c r="F50" s="419">
        <f t="shared" si="1"/>
        <v>11482022</v>
      </c>
      <c r="G50" s="67" t="s">
        <v>227</v>
      </c>
      <c r="H50" s="67" t="s">
        <v>228</v>
      </c>
      <c r="I50" s="67" t="s">
        <v>229</v>
      </c>
      <c r="J50" s="382"/>
      <c r="K50" s="67" t="str">
        <f>'1.4.3 Transport'!D32</f>
        <v>Not commenced</v>
      </c>
      <c r="L50" s="67" t="s">
        <v>562</v>
      </c>
      <c r="M50" s="382"/>
      <c r="N50" s="67" t="s">
        <v>627</v>
      </c>
      <c r="O50" s="67"/>
      <c r="P50" s="63" t="s">
        <v>991</v>
      </c>
      <c r="Q50" s="67" t="s">
        <v>962</v>
      </c>
      <c r="R50" s="382"/>
      <c r="S50" s="67"/>
      <c r="T50" s="67"/>
    </row>
    <row r="51" spans="1:20" s="66" customFormat="1" ht="36" x14ac:dyDescent="0.2">
      <c r="A51" s="67" t="s">
        <v>266</v>
      </c>
      <c r="B51" s="67" t="s">
        <v>226</v>
      </c>
      <c r="C51" s="326" t="str">
        <f>'1.4.3 Transport'!B33</f>
        <v>Intersection: Exford Road and Mount Cottrell Road
Purchase of land and construction of signalised 4-way intersection (interim standard).</v>
      </c>
      <c r="D51" s="419">
        <v>4450000</v>
      </c>
      <c r="E51" s="419">
        <v>11738409</v>
      </c>
      <c r="F51" s="419">
        <f t="shared" si="1"/>
        <v>16188409</v>
      </c>
      <c r="G51" s="67" t="s">
        <v>227</v>
      </c>
      <c r="H51" s="67" t="s">
        <v>228</v>
      </c>
      <c r="I51" s="67" t="s">
        <v>229</v>
      </c>
      <c r="J51" s="382"/>
      <c r="K51" s="67" t="str">
        <f>'1.4.3 Transport'!D33</f>
        <v>Not commenced</v>
      </c>
      <c r="L51" s="67" t="s">
        <v>562</v>
      </c>
      <c r="M51" s="382"/>
      <c r="N51" s="67" t="s">
        <v>627</v>
      </c>
      <c r="O51" s="67"/>
      <c r="P51" s="63" t="s">
        <v>991</v>
      </c>
      <c r="Q51" s="67" t="s">
        <v>962</v>
      </c>
      <c r="R51" s="382"/>
      <c r="S51" s="67"/>
      <c r="T51" s="67"/>
    </row>
    <row r="52" spans="1:20" s="66" customFormat="1" ht="36" x14ac:dyDescent="0.2">
      <c r="A52" s="67" t="s">
        <v>267</v>
      </c>
      <c r="B52" s="67" t="s">
        <v>226</v>
      </c>
      <c r="C52" s="326" t="str">
        <f>'1.4.3 Transport'!B34</f>
        <v xml:space="preserve">Intersection: Exford Road and Paynes Road
Construction of signalised 4-way intersection (interim standard). </v>
      </c>
      <c r="D52" s="419">
        <v>0</v>
      </c>
      <c r="E52" s="419">
        <v>5619775.3099999996</v>
      </c>
      <c r="F52" s="419">
        <f t="shared" si="1"/>
        <v>5619775.3099999996</v>
      </c>
      <c r="G52" s="67" t="s">
        <v>227</v>
      </c>
      <c r="H52" s="67" t="s">
        <v>228</v>
      </c>
      <c r="I52" s="67" t="s">
        <v>229</v>
      </c>
      <c r="J52" s="382"/>
      <c r="K52" s="67" t="str">
        <f>'1.4.3 Transport'!D34</f>
        <v>Not commenced</v>
      </c>
      <c r="L52" s="321" t="s">
        <v>782</v>
      </c>
      <c r="M52" s="382"/>
      <c r="N52" s="67" t="s">
        <v>627</v>
      </c>
      <c r="O52" s="67"/>
      <c r="P52" s="67" t="s">
        <v>666</v>
      </c>
      <c r="Q52" s="67"/>
      <c r="R52" s="382"/>
      <c r="S52" s="67"/>
      <c r="T52" s="67"/>
    </row>
    <row r="53" spans="1:20" s="66" customFormat="1" ht="24" x14ac:dyDescent="0.2">
      <c r="A53" s="67" t="s">
        <v>268</v>
      </c>
      <c r="B53" s="67" t="s">
        <v>226</v>
      </c>
      <c r="C53" s="326" t="str">
        <f>'1.4.3 Transport'!B35</f>
        <v>Deleted</v>
      </c>
      <c r="D53" s="419">
        <v>0</v>
      </c>
      <c r="E53" s="419">
        <v>0</v>
      </c>
      <c r="F53" s="419">
        <v>0</v>
      </c>
      <c r="G53" s="67"/>
      <c r="H53" s="67"/>
      <c r="I53" s="67"/>
      <c r="J53" s="382"/>
      <c r="K53" s="67" t="str">
        <f>'1.4.3 Transport'!D35</f>
        <v>Project deleted as it is located in the Rockbank South PSP area</v>
      </c>
      <c r="L53" s="326"/>
      <c r="M53" s="382"/>
      <c r="N53" s="67"/>
      <c r="O53" s="67" t="str">
        <f>'1.4.3 Transport'!E35</f>
        <v>Project deleted as it is located in the Rockbank South PSP area</v>
      </c>
      <c r="P53" s="67"/>
      <c r="Q53" s="67"/>
      <c r="R53" s="382"/>
      <c r="S53" s="67"/>
      <c r="T53" s="323">
        <v>516979</v>
      </c>
    </row>
    <row r="54" spans="1:20" s="66" customFormat="1" ht="24" x14ac:dyDescent="0.2">
      <c r="A54" s="67" t="s">
        <v>269</v>
      </c>
      <c r="B54" s="67" t="s">
        <v>226</v>
      </c>
      <c r="C54" s="326" t="str">
        <f>'1.4.3 Transport'!B36</f>
        <v>Deleted</v>
      </c>
      <c r="D54" s="419">
        <v>0</v>
      </c>
      <c r="E54" s="419">
        <v>0</v>
      </c>
      <c r="F54" s="419">
        <f t="shared" si="1"/>
        <v>0</v>
      </c>
      <c r="G54" s="67"/>
      <c r="H54" s="67"/>
      <c r="I54" s="67"/>
      <c r="J54" s="382"/>
      <c r="K54" s="67" t="str">
        <f>'1.4.3 Transport'!D36</f>
        <v>Project deleted as it is located in the Rockbank South PSP area</v>
      </c>
      <c r="L54" s="326"/>
      <c r="M54" s="382"/>
      <c r="N54" s="67"/>
      <c r="O54" s="67" t="str">
        <f>'1.4.3 Transport'!E36</f>
        <v>Project deleted as it is located in the Rockbank South PSP area</v>
      </c>
      <c r="P54" s="67"/>
      <c r="Q54" s="67"/>
      <c r="R54" s="382"/>
      <c r="S54" s="67"/>
      <c r="T54" s="323">
        <v>516979</v>
      </c>
    </row>
    <row r="55" spans="1:20" s="66" customFormat="1" ht="36" x14ac:dyDescent="0.2">
      <c r="A55" s="67" t="s">
        <v>270</v>
      </c>
      <c r="B55" s="67" t="s">
        <v>226</v>
      </c>
      <c r="C55" s="326" t="str">
        <f>'1.4.3 Transport'!B37</f>
        <v>Intersection: Mount Cottrell Road and Shogaki Drive
Purchase of land and construction of signalised 4-way intersection (interim standard).</v>
      </c>
      <c r="D55" s="419">
        <v>1075000</v>
      </c>
      <c r="E55" s="419">
        <v>7109635</v>
      </c>
      <c r="F55" s="419">
        <f t="shared" si="1"/>
        <v>8184635</v>
      </c>
      <c r="G55" s="67" t="s">
        <v>227</v>
      </c>
      <c r="H55" s="67" t="s">
        <v>228</v>
      </c>
      <c r="I55" s="67" t="s">
        <v>229</v>
      </c>
      <c r="J55" s="382"/>
      <c r="K55" s="67" t="str">
        <f>'1.4.3 Transport'!D37</f>
        <v>Partially constructed</v>
      </c>
      <c r="L55" s="67" t="s">
        <v>562</v>
      </c>
      <c r="M55" s="382"/>
      <c r="N55" s="67" t="s">
        <v>627</v>
      </c>
      <c r="O55" s="67"/>
      <c r="P55" s="67" t="s">
        <v>722</v>
      </c>
      <c r="Q55" s="67" t="s">
        <v>962</v>
      </c>
      <c r="R55" s="382"/>
      <c r="S55" s="67"/>
      <c r="T55" s="67"/>
    </row>
    <row r="56" spans="1:20" s="66" customFormat="1" ht="14.25" customHeight="1" x14ac:dyDescent="0.2">
      <c r="A56" s="67" t="s">
        <v>725</v>
      </c>
      <c r="B56" s="67"/>
      <c r="C56" s="326" t="s">
        <v>726</v>
      </c>
      <c r="D56" s="419"/>
      <c r="E56" s="419"/>
      <c r="F56" s="419"/>
      <c r="G56" s="67"/>
      <c r="H56" s="67"/>
      <c r="I56" s="67"/>
      <c r="J56" s="382"/>
      <c r="K56" s="67" t="str">
        <f>'1.4.3 Transport'!D38</f>
        <v>This project was skipped in the Toolern DCP</v>
      </c>
      <c r="L56" s="326"/>
      <c r="M56" s="382"/>
      <c r="N56" s="67"/>
      <c r="O56" s="67" t="s">
        <v>736</v>
      </c>
      <c r="P56" s="67"/>
      <c r="Q56" s="67"/>
      <c r="R56" s="382"/>
      <c r="S56" s="67"/>
      <c r="T56" s="67"/>
    </row>
    <row r="57" spans="1:20" s="66" customFormat="1" ht="36" x14ac:dyDescent="0.2">
      <c r="A57" s="67" t="s">
        <v>271</v>
      </c>
      <c r="B57" s="67" t="s">
        <v>226</v>
      </c>
      <c r="C57" s="326" t="str">
        <f>'1.4.3 Transport'!B39</f>
        <v>Intersection: Shogaki Drive and Industrial Connector Road 
Construction of signalised 4-way intersection (interim standard).</v>
      </c>
      <c r="D57" s="419">
        <v>2425000</v>
      </c>
      <c r="E57" s="419">
        <v>10179831</v>
      </c>
      <c r="F57" s="419">
        <f t="shared" si="1"/>
        <v>12604831</v>
      </c>
      <c r="G57" s="67" t="s">
        <v>227</v>
      </c>
      <c r="H57" s="67" t="s">
        <v>228</v>
      </c>
      <c r="I57" s="67" t="s">
        <v>229</v>
      </c>
      <c r="J57" s="382"/>
      <c r="K57" s="67" t="str">
        <f>'1.4.3 Transport'!D39</f>
        <v>Not commenced</v>
      </c>
      <c r="L57" s="67" t="s">
        <v>562</v>
      </c>
      <c r="M57" s="382"/>
      <c r="N57" s="67" t="s">
        <v>627</v>
      </c>
      <c r="O57" s="67"/>
      <c r="P57" s="63" t="s">
        <v>991</v>
      </c>
      <c r="Q57" s="67" t="s">
        <v>962</v>
      </c>
      <c r="R57" s="382"/>
      <c r="S57" s="67"/>
      <c r="T57" s="67"/>
    </row>
    <row r="58" spans="1:20" s="66" customFormat="1" ht="36" x14ac:dyDescent="0.2">
      <c r="A58" s="67" t="s">
        <v>272</v>
      </c>
      <c r="B58" s="67" t="s">
        <v>226</v>
      </c>
      <c r="C58" s="326" t="str">
        <f>'1.4.3 Transport'!B40</f>
        <v xml:space="preserve">Intersection: Ferris Road and Shogaki Drive
Purchase of land and construction of signalised 4-way intersection (interim standard). </v>
      </c>
      <c r="D58" s="419">
        <v>725000</v>
      </c>
      <c r="E58" s="419">
        <v>11062998</v>
      </c>
      <c r="F58" s="419">
        <f t="shared" si="1"/>
        <v>11787998</v>
      </c>
      <c r="G58" s="67" t="s">
        <v>227</v>
      </c>
      <c r="H58" s="67" t="s">
        <v>228</v>
      </c>
      <c r="I58" s="67" t="s">
        <v>229</v>
      </c>
      <c r="J58" s="382"/>
      <c r="K58" s="67" t="str">
        <f>'1.4.3 Transport'!D40</f>
        <v>Not commenced</v>
      </c>
      <c r="L58" s="67" t="s">
        <v>562</v>
      </c>
      <c r="M58" s="382"/>
      <c r="N58" s="67" t="s">
        <v>627</v>
      </c>
      <c r="O58" s="67"/>
      <c r="P58" s="63" t="s">
        <v>991</v>
      </c>
      <c r="Q58" s="67" t="s">
        <v>962</v>
      </c>
      <c r="R58" s="382"/>
      <c r="S58" s="67"/>
      <c r="T58" s="67"/>
    </row>
    <row r="59" spans="1:20" s="66" customFormat="1" ht="36" x14ac:dyDescent="0.2">
      <c r="A59" s="67" t="s">
        <v>273</v>
      </c>
      <c r="B59" s="67" t="s">
        <v>226</v>
      </c>
      <c r="C59" s="326" t="str">
        <f>'1.4.3 Transport'!B41</f>
        <v>Intersection: Ferris Road and Hollingsworth Drive 
Construction of signalised T-intersection (interim standard).</v>
      </c>
      <c r="D59" s="419">
        <v>0</v>
      </c>
      <c r="E59" s="419">
        <v>1353545.22</v>
      </c>
      <c r="F59" s="419">
        <f t="shared" si="1"/>
        <v>1353545.22</v>
      </c>
      <c r="G59" s="67" t="s">
        <v>227</v>
      </c>
      <c r="H59" s="67" t="s">
        <v>228</v>
      </c>
      <c r="I59" s="67" t="s">
        <v>229</v>
      </c>
      <c r="J59" s="382"/>
      <c r="K59" s="67" t="str">
        <f>'1.4.3 Transport'!D41</f>
        <v>Constructed</v>
      </c>
      <c r="L59" s="321" t="s">
        <v>782</v>
      </c>
      <c r="M59" s="382"/>
      <c r="N59" s="67" t="s">
        <v>627</v>
      </c>
      <c r="O59" s="67"/>
      <c r="P59" s="67" t="s">
        <v>669</v>
      </c>
      <c r="Q59" s="67" t="s">
        <v>738</v>
      </c>
      <c r="R59" s="382"/>
      <c r="S59" s="67"/>
      <c r="T59" s="67"/>
    </row>
    <row r="60" spans="1:20" s="66" customFormat="1" ht="36" x14ac:dyDescent="0.2">
      <c r="A60" s="67" t="s">
        <v>274</v>
      </c>
      <c r="B60" s="67" t="s">
        <v>226</v>
      </c>
      <c r="C60" s="326" t="str">
        <f>'1.4.3 Transport'!B42</f>
        <v>Intersection: Ferris Road and Bridge Road
Construction of signalised 4-way intersection (interim standard).</v>
      </c>
      <c r="D60" s="419">
        <v>1360000</v>
      </c>
      <c r="E60" s="419">
        <v>1353545</v>
      </c>
      <c r="F60" s="419">
        <f t="shared" si="1"/>
        <v>2713545</v>
      </c>
      <c r="G60" s="67" t="s">
        <v>227</v>
      </c>
      <c r="H60" s="67" t="s">
        <v>228</v>
      </c>
      <c r="I60" s="67" t="s">
        <v>229</v>
      </c>
      <c r="J60" s="382"/>
      <c r="K60" s="67" t="str">
        <f>'1.4.3 Transport'!D42</f>
        <v>Commited project
Part of the Bridge Road extension project to the Hospital</v>
      </c>
      <c r="L60" s="321" t="s">
        <v>847</v>
      </c>
      <c r="M60" s="382"/>
      <c r="N60" s="67" t="s">
        <v>627</v>
      </c>
      <c r="O60" s="67"/>
      <c r="P60" s="67" t="s">
        <v>669</v>
      </c>
      <c r="Q60" s="67" t="s">
        <v>962</v>
      </c>
      <c r="R60" s="382"/>
      <c r="S60" s="67"/>
      <c r="T60" s="67"/>
    </row>
    <row r="61" spans="1:20" s="66" customFormat="1" ht="36" x14ac:dyDescent="0.2">
      <c r="A61" s="67" t="s">
        <v>275</v>
      </c>
      <c r="B61" s="67" t="s">
        <v>226</v>
      </c>
      <c r="C61" s="326" t="str">
        <f>'1.4.3 Transport'!B43</f>
        <v xml:space="preserve">Intersection: Abey Road and Industrial Connector Road
Construction of a signalised T-intersection (interim standard). </v>
      </c>
      <c r="D61" s="419">
        <v>185000</v>
      </c>
      <c r="E61" s="419">
        <v>5190822</v>
      </c>
      <c r="F61" s="419">
        <f t="shared" si="1"/>
        <v>5375822</v>
      </c>
      <c r="G61" s="67" t="s">
        <v>227</v>
      </c>
      <c r="H61" s="67" t="s">
        <v>228</v>
      </c>
      <c r="I61" s="67" t="s">
        <v>229</v>
      </c>
      <c r="J61" s="382"/>
      <c r="K61" s="67" t="str">
        <f>'1.4.3 Transport'!D43</f>
        <v>Not commenced</v>
      </c>
      <c r="L61" s="67" t="s">
        <v>562</v>
      </c>
      <c r="M61" s="382"/>
      <c r="N61" s="67" t="s">
        <v>627</v>
      </c>
      <c r="O61" s="67"/>
      <c r="P61" s="63" t="s">
        <v>991</v>
      </c>
      <c r="Q61" s="67" t="s">
        <v>962</v>
      </c>
      <c r="R61" s="382"/>
      <c r="S61" s="67"/>
      <c r="T61" s="67"/>
    </row>
    <row r="62" spans="1:20" s="66" customFormat="1" ht="36" x14ac:dyDescent="0.2">
      <c r="A62" s="67" t="s">
        <v>276</v>
      </c>
      <c r="B62" s="67" t="s">
        <v>226</v>
      </c>
      <c r="C62" s="326" t="str">
        <f>'1.4.3 Transport'!B44</f>
        <v>Intersection: Abey Road and Bundy Drive
Construction of signalised T-intersection (interim standard).</v>
      </c>
      <c r="D62" s="419">
        <v>125000</v>
      </c>
      <c r="E62" s="419">
        <v>5652281</v>
      </c>
      <c r="F62" s="419">
        <f t="shared" si="1"/>
        <v>5777281</v>
      </c>
      <c r="G62" s="67" t="s">
        <v>227</v>
      </c>
      <c r="H62" s="67" t="s">
        <v>228</v>
      </c>
      <c r="I62" s="67" t="s">
        <v>229</v>
      </c>
      <c r="J62" s="382"/>
      <c r="K62" s="67" t="str">
        <f>'1.4.3 Transport'!D44</f>
        <v>Not commenced</v>
      </c>
      <c r="L62" s="67" t="s">
        <v>562</v>
      </c>
      <c r="M62" s="382"/>
      <c r="N62" s="67" t="s">
        <v>627</v>
      </c>
      <c r="O62" s="67"/>
      <c r="P62" s="63" t="s">
        <v>991</v>
      </c>
      <c r="Q62" s="67" t="s">
        <v>962</v>
      </c>
      <c r="R62" s="382"/>
      <c r="S62" s="67"/>
      <c r="T62" s="67"/>
    </row>
    <row r="63" spans="1:20" s="66" customFormat="1" ht="36" x14ac:dyDescent="0.2">
      <c r="A63" s="67" t="s">
        <v>277</v>
      </c>
      <c r="B63" s="67" t="s">
        <v>226</v>
      </c>
      <c r="C63" s="326" t="str">
        <f>'1.4.3 Transport'!B45</f>
        <v>Intersection: Ferris Road and Shakamaker Drive
Construction of signalised 4-way intersection (ultimate standard).</v>
      </c>
      <c r="D63" s="419">
        <v>1050000</v>
      </c>
      <c r="E63" s="419">
        <v>7973390</v>
      </c>
      <c r="F63" s="419">
        <f t="shared" si="1"/>
        <v>9023390</v>
      </c>
      <c r="G63" s="67" t="s">
        <v>227</v>
      </c>
      <c r="H63" s="67" t="s">
        <v>228</v>
      </c>
      <c r="I63" s="67" t="s">
        <v>229</v>
      </c>
      <c r="J63" s="382"/>
      <c r="K63" s="67" t="str">
        <f>'1.4.3 Transport'!D45</f>
        <v>Not commenced</v>
      </c>
      <c r="L63" s="67" t="s">
        <v>562</v>
      </c>
      <c r="M63" s="382"/>
      <c r="N63" s="67" t="s">
        <v>627</v>
      </c>
      <c r="O63" s="67"/>
      <c r="P63" s="63" t="s">
        <v>991</v>
      </c>
      <c r="Q63" s="67" t="s">
        <v>962</v>
      </c>
      <c r="R63" s="382"/>
      <c r="S63" s="67"/>
      <c r="T63" s="67"/>
    </row>
    <row r="64" spans="1:20" s="66" customFormat="1" ht="36" x14ac:dyDescent="0.2">
      <c r="A64" s="67" t="s">
        <v>278</v>
      </c>
      <c r="B64" s="67" t="s">
        <v>226</v>
      </c>
      <c r="C64" s="326" t="str">
        <f>'1.4.3 Transport'!B46</f>
        <v>Intersection: Mount Cottrell Road and Baxterpark Drive
Construction of signalised T-intersection (interim standard).</v>
      </c>
      <c r="D64" s="419">
        <v>0</v>
      </c>
      <c r="E64" s="419">
        <v>1071556.6399999999</v>
      </c>
      <c r="F64" s="419">
        <f t="shared" si="1"/>
        <v>1071556.6399999999</v>
      </c>
      <c r="G64" s="67" t="s">
        <v>227</v>
      </c>
      <c r="H64" s="67" t="s">
        <v>228</v>
      </c>
      <c r="I64" s="67" t="s">
        <v>229</v>
      </c>
      <c r="J64" s="382"/>
      <c r="K64" s="67" t="str">
        <f>'1.4.3 Transport'!D46</f>
        <v>Constructed</v>
      </c>
      <c r="L64" s="321" t="s">
        <v>782</v>
      </c>
      <c r="M64" s="382"/>
      <c r="N64" s="67" t="s">
        <v>627</v>
      </c>
      <c r="O64" s="67"/>
      <c r="P64" s="67" t="s">
        <v>749</v>
      </c>
      <c r="Q64" s="67" t="s">
        <v>738</v>
      </c>
      <c r="R64" s="382"/>
      <c r="S64" s="67"/>
      <c r="T64" s="67"/>
    </row>
    <row r="65" spans="1:32" s="66" customFormat="1" ht="36" x14ac:dyDescent="0.2">
      <c r="A65" s="67" t="s">
        <v>279</v>
      </c>
      <c r="B65" s="67" t="s">
        <v>226</v>
      </c>
      <c r="C65" s="326" t="str">
        <f>'1.4.3 Transport'!B47</f>
        <v>Intersection: Mount Cottrell Road and Southern Connector Road
Construction of signalised 4-way intersection (interim standard).</v>
      </c>
      <c r="D65" s="419">
        <v>1845000</v>
      </c>
      <c r="E65" s="419">
        <v>9393854</v>
      </c>
      <c r="F65" s="419">
        <f t="shared" si="1"/>
        <v>11238854</v>
      </c>
      <c r="G65" s="67" t="s">
        <v>227</v>
      </c>
      <c r="H65" s="67" t="s">
        <v>228</v>
      </c>
      <c r="I65" s="67" t="s">
        <v>229</v>
      </c>
      <c r="J65" s="382"/>
      <c r="K65" s="67" t="str">
        <f>'1.4.3 Transport'!D47</f>
        <v>Not commenced</v>
      </c>
      <c r="L65" s="67" t="s">
        <v>562</v>
      </c>
      <c r="M65" s="382"/>
      <c r="N65" s="67" t="s">
        <v>627</v>
      </c>
      <c r="O65" s="67"/>
      <c r="P65" s="63" t="s">
        <v>991</v>
      </c>
      <c r="Q65" s="67" t="s">
        <v>962</v>
      </c>
      <c r="R65" s="382"/>
      <c r="S65" s="67"/>
      <c r="T65" s="67"/>
    </row>
    <row r="66" spans="1:32" s="66" customFormat="1" ht="36" x14ac:dyDescent="0.2">
      <c r="A66" s="67" t="s">
        <v>280</v>
      </c>
      <c r="B66" s="67" t="s">
        <v>226</v>
      </c>
      <c r="C66" s="326" t="str">
        <f>'1.4.3 Transport'!B48</f>
        <v xml:space="preserve">Intersection: Exford Road and Eastern North-South Connector Road 
Construction of signalised 4-way intersection (interim standard). </v>
      </c>
      <c r="D66" s="419">
        <v>2675000</v>
      </c>
      <c r="E66" s="419">
        <v>6512388</v>
      </c>
      <c r="F66" s="419">
        <f t="shared" si="1"/>
        <v>9187388</v>
      </c>
      <c r="G66" s="67" t="s">
        <v>227</v>
      </c>
      <c r="H66" s="67" t="s">
        <v>228</v>
      </c>
      <c r="I66" s="67" t="s">
        <v>229</v>
      </c>
      <c r="J66" s="382"/>
      <c r="K66" s="67" t="str">
        <f>'1.4.3 Transport'!D48</f>
        <v>Not commenced</v>
      </c>
      <c r="L66" s="67" t="s">
        <v>562</v>
      </c>
      <c r="M66" s="382"/>
      <c r="N66" s="67" t="s">
        <v>627</v>
      </c>
      <c r="O66" s="67"/>
      <c r="P66" s="63" t="s">
        <v>991</v>
      </c>
      <c r="Q66" s="67" t="s">
        <v>962</v>
      </c>
      <c r="R66" s="382"/>
      <c r="S66" s="67"/>
      <c r="T66" s="67"/>
    </row>
    <row r="67" spans="1:32" s="66" customFormat="1" ht="36" x14ac:dyDescent="0.2">
      <c r="A67" s="67" t="s">
        <v>281</v>
      </c>
      <c r="B67" s="67" t="s">
        <v>226</v>
      </c>
      <c r="C67" s="326" t="str">
        <f>'1.4.3 Transport'!B49</f>
        <v>Intersection: Exford Road and Central North-South Connector Road
Construction of signalised 4-way intersection (interim standard).</v>
      </c>
      <c r="D67" s="419">
        <v>2100000</v>
      </c>
      <c r="E67" s="419">
        <v>5595492</v>
      </c>
      <c r="F67" s="419">
        <f t="shared" si="1"/>
        <v>7695492</v>
      </c>
      <c r="G67" s="67" t="s">
        <v>227</v>
      </c>
      <c r="H67" s="67" t="s">
        <v>228</v>
      </c>
      <c r="I67" s="67" t="s">
        <v>229</v>
      </c>
      <c r="J67" s="382"/>
      <c r="K67" s="67" t="str">
        <f>'1.4.3 Transport'!D49</f>
        <v>Not commenced</v>
      </c>
      <c r="L67" s="67" t="s">
        <v>562</v>
      </c>
      <c r="M67" s="382"/>
      <c r="N67" s="67" t="s">
        <v>627</v>
      </c>
      <c r="O67" s="67"/>
      <c r="P67" s="63" t="s">
        <v>991</v>
      </c>
      <c r="Q67" s="67" t="s">
        <v>962</v>
      </c>
      <c r="R67" s="382"/>
      <c r="S67" s="67"/>
      <c r="T67" s="67"/>
    </row>
    <row r="68" spans="1:32" s="66" customFormat="1" ht="36" x14ac:dyDescent="0.2">
      <c r="A68" s="67" t="s">
        <v>282</v>
      </c>
      <c r="B68" s="67" t="s">
        <v>226</v>
      </c>
      <c r="C68" s="326" t="str">
        <f>'1.4.3 Transport'!B50</f>
        <v>Intersection: Exford Road and Western North-South Connector Road
Construction of signalised T-intersection (interim standard).</v>
      </c>
      <c r="D68" s="419">
        <v>825000</v>
      </c>
      <c r="E68" s="419">
        <v>4802624</v>
      </c>
      <c r="F68" s="419">
        <f t="shared" si="1"/>
        <v>5627624</v>
      </c>
      <c r="G68" s="67" t="s">
        <v>227</v>
      </c>
      <c r="H68" s="67" t="s">
        <v>228</v>
      </c>
      <c r="I68" s="67" t="s">
        <v>229</v>
      </c>
      <c r="J68" s="382"/>
      <c r="K68" s="67" t="str">
        <f>'1.4.3 Transport'!D50</f>
        <v>Not commenced</v>
      </c>
      <c r="L68" s="67" t="s">
        <v>562</v>
      </c>
      <c r="M68" s="382"/>
      <c r="N68" s="67" t="s">
        <v>627</v>
      </c>
      <c r="O68" s="67"/>
      <c r="P68" s="63" t="s">
        <v>991</v>
      </c>
      <c r="Q68" s="67" t="s">
        <v>962</v>
      </c>
      <c r="R68" s="382"/>
      <c r="S68" s="67"/>
      <c r="T68" s="67"/>
    </row>
    <row r="69" spans="1:32" s="66" customFormat="1" ht="36" x14ac:dyDescent="0.2">
      <c r="A69" s="67" t="s">
        <v>283</v>
      </c>
      <c r="B69" s="67" t="s">
        <v>226</v>
      </c>
      <c r="C69" s="326" t="str">
        <f>'1.4.3 Transport'!B51</f>
        <v>Intersection: Exford Road and Elpis Road
Construction of signalised T-intersection (interim standard).</v>
      </c>
      <c r="D69" s="419">
        <v>0</v>
      </c>
      <c r="E69" s="419">
        <v>1071556.6399999999</v>
      </c>
      <c r="F69" s="419">
        <f t="shared" si="1"/>
        <v>1071556.6399999999</v>
      </c>
      <c r="G69" s="67" t="s">
        <v>227</v>
      </c>
      <c r="H69" s="67" t="s">
        <v>228</v>
      </c>
      <c r="I69" s="67" t="s">
        <v>229</v>
      </c>
      <c r="J69" s="382"/>
      <c r="K69" s="67" t="str">
        <f>'1.4.3 Transport'!D51</f>
        <v>Constructed</v>
      </c>
      <c r="L69" s="321" t="s">
        <v>782</v>
      </c>
      <c r="M69" s="382"/>
      <c r="N69" s="67" t="s">
        <v>627</v>
      </c>
      <c r="O69" s="67"/>
      <c r="P69" s="67" t="s">
        <v>669</v>
      </c>
      <c r="Q69" s="67" t="s">
        <v>738</v>
      </c>
      <c r="R69" s="382"/>
      <c r="S69" s="67"/>
      <c r="T69" s="67"/>
    </row>
    <row r="70" spans="1:32" s="66" customFormat="1" ht="36" x14ac:dyDescent="0.2">
      <c r="A70" s="67" t="s">
        <v>284</v>
      </c>
      <c r="B70" s="67" t="s">
        <v>226</v>
      </c>
      <c r="C70" s="326" t="str">
        <f>'1.4.3 Transport'!B52</f>
        <v>Intersection: Mount Cottrell Road and Bridge Road
Construction of signalised T-intersection (interim standard).</v>
      </c>
      <c r="D70" s="419">
        <v>537500</v>
      </c>
      <c r="E70" s="419">
        <v>983157</v>
      </c>
      <c r="F70" s="419">
        <f t="shared" si="1"/>
        <v>1520657</v>
      </c>
      <c r="G70" s="67" t="s">
        <v>227</v>
      </c>
      <c r="H70" s="67" t="s">
        <v>228</v>
      </c>
      <c r="I70" s="67" t="s">
        <v>229</v>
      </c>
      <c r="J70" s="382"/>
      <c r="K70" s="67" t="str">
        <f>'1.4.3 Transport'!D52</f>
        <v>Not commenced</v>
      </c>
      <c r="L70" s="67" t="s">
        <v>562</v>
      </c>
      <c r="M70" s="382"/>
      <c r="N70" s="67" t="s">
        <v>627</v>
      </c>
      <c r="O70" s="67"/>
      <c r="P70" s="63" t="s">
        <v>991</v>
      </c>
      <c r="Q70" s="67" t="s">
        <v>962</v>
      </c>
      <c r="R70" s="382"/>
      <c r="S70" s="67"/>
      <c r="T70" s="67"/>
    </row>
    <row r="71" spans="1:32" s="66" customFormat="1" ht="36" x14ac:dyDescent="0.2">
      <c r="A71" s="67" t="s">
        <v>285</v>
      </c>
      <c r="B71" s="67" t="s">
        <v>226</v>
      </c>
      <c r="C71" s="326" t="str">
        <f>'1.4.3 Transport'!B53</f>
        <v>Intersection: Mount Cottrell Road and Alfred Road
Construction of signalised 4-way intersection (interim standard).</v>
      </c>
      <c r="D71" s="419">
        <v>1200000</v>
      </c>
      <c r="E71" s="419">
        <v>1353545.22</v>
      </c>
      <c r="F71" s="419">
        <f t="shared" si="1"/>
        <v>2553545.2199999997</v>
      </c>
      <c r="G71" s="67" t="s">
        <v>227</v>
      </c>
      <c r="H71" s="67" t="s">
        <v>228</v>
      </c>
      <c r="I71" s="67" t="s">
        <v>229</v>
      </c>
      <c r="J71" s="382"/>
      <c r="K71" s="67" t="s">
        <v>514</v>
      </c>
      <c r="L71" s="321" t="s">
        <v>782</v>
      </c>
      <c r="M71" s="382"/>
      <c r="N71" s="67" t="s">
        <v>627</v>
      </c>
      <c r="O71" s="67"/>
      <c r="P71" s="67" t="s">
        <v>669</v>
      </c>
      <c r="Q71" s="67" t="s">
        <v>962</v>
      </c>
      <c r="R71" s="382"/>
      <c r="S71" s="67"/>
      <c r="T71" s="67"/>
    </row>
    <row r="72" spans="1:32" s="66" customFormat="1" ht="36" x14ac:dyDescent="0.2">
      <c r="A72" s="67" t="s">
        <v>286</v>
      </c>
      <c r="B72" s="67" t="s">
        <v>226</v>
      </c>
      <c r="C72" s="326" t="str">
        <f>'1.4.3 Transport'!B54</f>
        <v>Intersection: Ferris Road and Alfred Road
Construction of signalised 4-way intersection (interim standard).</v>
      </c>
      <c r="D72" s="419">
        <v>600000</v>
      </c>
      <c r="E72" s="419">
        <v>1353545.22</v>
      </c>
      <c r="F72" s="419">
        <f t="shared" si="1"/>
        <v>1953545.22</v>
      </c>
      <c r="G72" s="67" t="s">
        <v>227</v>
      </c>
      <c r="H72" s="67" t="s">
        <v>228</v>
      </c>
      <c r="I72" s="67" t="s">
        <v>229</v>
      </c>
      <c r="J72" s="382"/>
      <c r="K72" s="67" t="str">
        <f>'1.4.3 Transport'!D54</f>
        <v>Under construction</v>
      </c>
      <c r="L72" s="321" t="s">
        <v>782</v>
      </c>
      <c r="M72" s="382"/>
      <c r="N72" s="67" t="s">
        <v>627</v>
      </c>
      <c r="O72" s="67"/>
      <c r="P72" s="67" t="s">
        <v>850</v>
      </c>
      <c r="Q72" s="67" t="s">
        <v>962</v>
      </c>
      <c r="R72" s="382"/>
      <c r="S72" s="67"/>
      <c r="T72" s="67"/>
    </row>
    <row r="73" spans="1:32" s="66" customFormat="1" ht="36" x14ac:dyDescent="0.2">
      <c r="A73" s="67" t="s">
        <v>287</v>
      </c>
      <c r="B73" s="67" t="s">
        <v>226</v>
      </c>
      <c r="C73" s="326" t="str">
        <f>'1.4.3 Transport'!B55</f>
        <v>Intersection: Ferris Road and Southern Connector Road
Construction of signalised 4-way intersection (interim standard).</v>
      </c>
      <c r="D73" s="419">
        <v>1125000</v>
      </c>
      <c r="E73" s="419">
        <v>1353545</v>
      </c>
      <c r="F73" s="419">
        <f t="shared" si="1"/>
        <v>2478545</v>
      </c>
      <c r="G73" s="67" t="s">
        <v>227</v>
      </c>
      <c r="H73" s="67" t="s">
        <v>228</v>
      </c>
      <c r="I73" s="67" t="s">
        <v>229</v>
      </c>
      <c r="J73" s="382"/>
      <c r="K73" s="67" t="str">
        <f>'1.4.3 Transport'!D55</f>
        <v>Under construction</v>
      </c>
      <c r="L73" s="321" t="s">
        <v>847</v>
      </c>
      <c r="M73" s="382"/>
      <c r="N73" s="67" t="s">
        <v>627</v>
      </c>
      <c r="O73" s="67"/>
      <c r="P73" s="67" t="s">
        <v>965</v>
      </c>
      <c r="Q73" s="67" t="s">
        <v>962</v>
      </c>
      <c r="R73" s="382"/>
      <c r="S73" s="67"/>
      <c r="T73" s="67"/>
    </row>
    <row r="74" spans="1:32" s="66" customFormat="1" ht="36" x14ac:dyDescent="0.2">
      <c r="A74" s="67" t="s">
        <v>503</v>
      </c>
      <c r="B74" s="67" t="s">
        <v>226</v>
      </c>
      <c r="C74" s="326" t="str">
        <f>'1.4.3 Transport'!B56</f>
        <v>Intersection: Ferris Road and Enterprise Street
Construction of a signalised 4-way intersection (interim standard).</v>
      </c>
      <c r="D74" s="420">
        <v>175000</v>
      </c>
      <c r="E74" s="420">
        <v>4598543</v>
      </c>
      <c r="F74" s="419">
        <f t="shared" si="1"/>
        <v>4773543</v>
      </c>
      <c r="G74" s="67" t="s">
        <v>227</v>
      </c>
      <c r="H74" s="67" t="s">
        <v>228</v>
      </c>
      <c r="I74" s="67" t="s">
        <v>567</v>
      </c>
      <c r="J74" s="382"/>
      <c r="K74" s="67" t="str">
        <f>'1.4.3 Transport'!D56</f>
        <v>New project from CMAC UDF</v>
      </c>
      <c r="L74" s="67"/>
      <c r="M74" s="382"/>
      <c r="N74" s="67"/>
      <c r="O74" s="67" t="str">
        <f>'1.4.3 Transport'!E56</f>
        <v>New intersection project from the Cobblebank Metropolitan Activity Centre Urban Design Framework</v>
      </c>
      <c r="P74" s="63" t="s">
        <v>991</v>
      </c>
      <c r="Q74" s="67" t="s">
        <v>962</v>
      </c>
      <c r="R74" s="382"/>
      <c r="S74" s="67"/>
      <c r="T74" s="67"/>
    </row>
    <row r="75" spans="1:32" s="66" customFormat="1" ht="24" x14ac:dyDescent="0.2">
      <c r="A75" s="67" t="s">
        <v>504</v>
      </c>
      <c r="B75" s="67" t="s">
        <v>226</v>
      </c>
      <c r="C75" s="326" t="str">
        <f>'1.4.3 Transport'!B57</f>
        <v>Intersection: Paynes Road and Alfred Road
Construction of a signalised 4-way intersection (interim standard).</v>
      </c>
      <c r="D75" s="420">
        <v>0</v>
      </c>
      <c r="E75" s="420">
        <v>3872264.7</v>
      </c>
      <c r="F75" s="419">
        <f t="shared" si="1"/>
        <v>3872264.7</v>
      </c>
      <c r="G75" s="67" t="s">
        <v>227</v>
      </c>
      <c r="H75" s="67" t="s">
        <v>228</v>
      </c>
      <c r="I75" s="67" t="s">
        <v>564</v>
      </c>
      <c r="J75" s="382"/>
      <c r="K75" s="67" t="str">
        <f>'1.4.3 Transport'!D57</f>
        <v>New project from Rockbank DCP - IT12</v>
      </c>
      <c r="L75" s="321" t="s">
        <v>782</v>
      </c>
      <c r="M75" s="382"/>
      <c r="N75" s="67"/>
      <c r="O75" s="67" t="str">
        <f>'1.4.3 Transport'!E57</f>
        <v>Missing intersection project from the Rockbank Development Contributions Plan.</v>
      </c>
      <c r="P75" s="67" t="s">
        <v>666</v>
      </c>
      <c r="Q75" s="67"/>
      <c r="R75" s="382"/>
      <c r="S75" s="67"/>
      <c r="T75" s="67"/>
    </row>
    <row r="76" spans="1:32" s="66" customFormat="1" ht="24" x14ac:dyDescent="0.2">
      <c r="A76" s="67" t="s">
        <v>505</v>
      </c>
      <c r="B76" s="67" t="s">
        <v>226</v>
      </c>
      <c r="C76" s="326" t="str">
        <f>'1.4.3 Transport'!B58</f>
        <v>Intersection: Paynes Road and East-West Connector Road 1
Construction of a signalised 4-way intersection (interim standard).</v>
      </c>
      <c r="D76" s="420">
        <v>0</v>
      </c>
      <c r="E76" s="420">
        <v>3350228.14</v>
      </c>
      <c r="F76" s="419">
        <f t="shared" si="1"/>
        <v>3350228.14</v>
      </c>
      <c r="G76" s="67" t="s">
        <v>227</v>
      </c>
      <c r="H76" s="67" t="s">
        <v>228</v>
      </c>
      <c r="I76" s="67" t="s">
        <v>229</v>
      </c>
      <c r="J76" s="382"/>
      <c r="K76" s="67" t="str">
        <f>'1.4.3 Transport'!D58</f>
        <v>New project from Rockbank DCP - IT13</v>
      </c>
      <c r="L76" s="321" t="s">
        <v>782</v>
      </c>
      <c r="M76" s="382"/>
      <c r="N76" s="67"/>
      <c r="O76" s="67" t="str">
        <f>'1.4.3 Transport'!E58</f>
        <v>Missing intersection project from the Rockbank Development Contributions Plan.</v>
      </c>
      <c r="P76" s="67" t="s">
        <v>666</v>
      </c>
      <c r="Q76" s="67"/>
      <c r="R76" s="382"/>
      <c r="S76" s="67"/>
      <c r="T76" s="67"/>
    </row>
    <row r="77" spans="1:32" s="66" customFormat="1" ht="24" x14ac:dyDescent="0.2">
      <c r="A77" s="67" t="s">
        <v>506</v>
      </c>
      <c r="B77" s="67" t="s">
        <v>226</v>
      </c>
      <c r="C77" s="326" t="str">
        <f>'1.4.3 Transport'!B59</f>
        <v>Intersection: Paynes Road and East-West Connector Road 2
Construction of a signalised 3-way intersection (interim standard).</v>
      </c>
      <c r="D77" s="420">
        <v>0</v>
      </c>
      <c r="E77" s="420">
        <v>3495442.99</v>
      </c>
      <c r="F77" s="419">
        <f t="shared" si="1"/>
        <v>3495442.99</v>
      </c>
      <c r="G77" s="67" t="s">
        <v>227</v>
      </c>
      <c r="H77" s="67" t="s">
        <v>228</v>
      </c>
      <c r="I77" s="67" t="s">
        <v>229</v>
      </c>
      <c r="J77" s="382"/>
      <c r="K77" s="67" t="str">
        <f>'1.4.3 Transport'!D59</f>
        <v>New project from Rockbank DCP - IT14</v>
      </c>
      <c r="L77" s="321" t="s">
        <v>782</v>
      </c>
      <c r="M77" s="382"/>
      <c r="N77" s="67"/>
      <c r="O77" s="67" t="str">
        <f>'1.4.3 Transport'!E59</f>
        <v>Missing intersection project from the Rockbank Development Contributions Plan.</v>
      </c>
      <c r="P77" s="67" t="s">
        <v>666</v>
      </c>
      <c r="Q77" s="67"/>
      <c r="R77" s="382"/>
      <c r="S77" s="67"/>
      <c r="T77" s="67"/>
    </row>
    <row r="78" spans="1:32" s="64" customFormat="1" x14ac:dyDescent="0.2">
      <c r="A78" s="383" t="s">
        <v>14</v>
      </c>
      <c r="B78" s="383"/>
      <c r="C78" s="383"/>
      <c r="D78" s="389">
        <f>SUM(D46:D77)</f>
        <v>29462500</v>
      </c>
      <c r="E78" s="389">
        <f>SUM(E46:E77)</f>
        <v>147524125.07999998</v>
      </c>
      <c r="F78" s="389">
        <f>SUM(F46:F77)</f>
        <v>176986625.07999998</v>
      </c>
      <c r="G78" s="236"/>
      <c r="H78" s="236"/>
      <c r="I78" s="236"/>
      <c r="J78" s="391"/>
      <c r="K78" s="65"/>
      <c r="L78" s="394"/>
      <c r="M78" s="383"/>
      <c r="N78" s="65"/>
      <c r="O78" s="65"/>
      <c r="P78" s="65"/>
      <c r="Q78" s="65"/>
      <c r="R78" s="391"/>
      <c r="S78" s="65"/>
      <c r="T78" s="65"/>
    </row>
    <row r="79" spans="1:32" s="62" customFormat="1" x14ac:dyDescent="0.2">
      <c r="A79" s="418" t="s">
        <v>288</v>
      </c>
      <c r="B79" s="58"/>
      <c r="C79" s="58"/>
      <c r="D79" s="304"/>
      <c r="E79" s="304"/>
      <c r="F79" s="304"/>
      <c r="G79" s="58"/>
      <c r="H79" s="58"/>
      <c r="I79" s="58"/>
      <c r="J79" s="81"/>
      <c r="K79" s="58"/>
      <c r="L79" s="58"/>
      <c r="M79" s="192"/>
      <c r="N79" s="82"/>
      <c r="O79" s="58"/>
      <c r="P79" s="58"/>
      <c r="Q79" s="58"/>
      <c r="R79" s="477"/>
      <c r="S79" s="58"/>
      <c r="T79" s="58"/>
      <c r="U79" s="59"/>
      <c r="V79" s="58"/>
      <c r="W79" s="58"/>
      <c r="X79" s="58"/>
      <c r="Y79" s="58"/>
      <c r="Z79" s="60"/>
      <c r="AA79" s="60"/>
      <c r="AB79" s="60"/>
      <c r="AC79" s="60"/>
      <c r="AD79" s="60"/>
      <c r="AE79" s="60"/>
      <c r="AF79" s="61"/>
    </row>
    <row r="80" spans="1:32" s="225" customFormat="1" ht="36" x14ac:dyDescent="0.2">
      <c r="A80" s="232" t="s">
        <v>289</v>
      </c>
      <c r="B80" s="232" t="s">
        <v>226</v>
      </c>
      <c r="C80" s="231" t="str">
        <f>'1.4.3 Transport'!B61</f>
        <v>Abey Road Bridge
Construction of an arterial road bridge over the Toolern Creek.</v>
      </c>
      <c r="D80" s="421">
        <v>0</v>
      </c>
      <c r="E80" s="421">
        <v>4934800.3</v>
      </c>
      <c r="F80" s="421">
        <f>D80+E80</f>
        <v>4934800.3</v>
      </c>
      <c r="G80" s="226" t="s">
        <v>227</v>
      </c>
      <c r="H80" s="226" t="s">
        <v>228</v>
      </c>
      <c r="I80" s="226" t="s">
        <v>966</v>
      </c>
      <c r="J80" s="422"/>
      <c r="K80" s="226" t="str">
        <f>'1.4.3 Transport'!D61</f>
        <v>Constructed</v>
      </c>
      <c r="L80" s="243" t="s">
        <v>782</v>
      </c>
      <c r="M80" s="422"/>
      <c r="N80" s="226" t="s">
        <v>627</v>
      </c>
      <c r="O80" s="226"/>
      <c r="P80" s="226" t="s">
        <v>669</v>
      </c>
      <c r="Q80" s="226" t="s">
        <v>738</v>
      </c>
      <c r="R80" s="382"/>
      <c r="S80" s="226"/>
      <c r="T80" s="226"/>
    </row>
    <row r="81" spans="1:20" s="225" customFormat="1" ht="36" x14ac:dyDescent="0.2">
      <c r="A81" s="232" t="s">
        <v>290</v>
      </c>
      <c r="B81" s="232" t="s">
        <v>226</v>
      </c>
      <c r="C81" s="231" t="str">
        <f>'1.4.3 Transport'!B62</f>
        <v>Bridge Road Bridge
Construction of a connector road bridge over the Toolern Creek.</v>
      </c>
      <c r="D81" s="421">
        <v>0</v>
      </c>
      <c r="E81" s="421">
        <v>7040315.0899999999</v>
      </c>
      <c r="F81" s="421">
        <f t="shared" ref="F81:F100" si="2">D81+E81</f>
        <v>7040315.0899999999</v>
      </c>
      <c r="G81" s="226" t="s">
        <v>227</v>
      </c>
      <c r="H81" s="226" t="s">
        <v>228</v>
      </c>
      <c r="I81" s="226" t="s">
        <v>223</v>
      </c>
      <c r="J81" s="422"/>
      <c r="K81" s="226" t="str">
        <f>'1.4.3 Transport'!D62</f>
        <v>Constructed</v>
      </c>
      <c r="L81" s="243" t="s">
        <v>782</v>
      </c>
      <c r="M81" s="422"/>
      <c r="N81" s="226" t="s">
        <v>627</v>
      </c>
      <c r="O81" s="226"/>
      <c r="P81" s="226" t="s">
        <v>669</v>
      </c>
      <c r="Q81" s="226" t="s">
        <v>738</v>
      </c>
      <c r="R81" s="382"/>
      <c r="S81" s="226"/>
      <c r="T81" s="226"/>
    </row>
    <row r="82" spans="1:20" s="66" customFormat="1" ht="36" x14ac:dyDescent="0.2">
      <c r="A82" s="234" t="s">
        <v>291</v>
      </c>
      <c r="B82" s="234" t="s">
        <v>226</v>
      </c>
      <c r="C82" s="326" t="str">
        <f>'1.4.3 Transport'!B63</f>
        <v>Exford Road Bridge
Construction of an arterial road bridge over the Toolern Creek.</v>
      </c>
      <c r="D82" s="423">
        <v>0</v>
      </c>
      <c r="E82" s="423">
        <v>15193107</v>
      </c>
      <c r="F82" s="423">
        <f t="shared" si="2"/>
        <v>15193107</v>
      </c>
      <c r="G82" s="67" t="s">
        <v>227</v>
      </c>
      <c r="H82" s="67" t="s">
        <v>228</v>
      </c>
      <c r="I82" s="67" t="s">
        <v>223</v>
      </c>
      <c r="J82" s="382"/>
      <c r="K82" s="67" t="str">
        <f>'1.4.3 Transport'!D63</f>
        <v>Not commenced</v>
      </c>
      <c r="L82" s="67" t="s">
        <v>562</v>
      </c>
      <c r="M82" s="382"/>
      <c r="N82" s="67" t="s">
        <v>627</v>
      </c>
      <c r="O82" s="67"/>
      <c r="P82" s="63" t="s">
        <v>992</v>
      </c>
      <c r="Q82" s="67"/>
      <c r="R82" s="382"/>
      <c r="S82" s="67"/>
      <c r="T82" s="67"/>
    </row>
    <row r="83" spans="1:20" s="66" customFormat="1" ht="36" x14ac:dyDescent="0.2">
      <c r="A83" s="234" t="s">
        <v>292</v>
      </c>
      <c r="B83" s="234" t="s">
        <v>226</v>
      </c>
      <c r="C83" s="326" t="str">
        <f>'1.4.3 Transport'!B64</f>
        <v>Shared Use Pedestrian Bridge 1: Toolern Creek
Construction of a shared use pedestrian bridge over the Toolern Creek.</v>
      </c>
      <c r="D83" s="423">
        <v>0</v>
      </c>
      <c r="E83" s="423">
        <v>1389467</v>
      </c>
      <c r="F83" s="423">
        <f t="shared" si="2"/>
        <v>1389467</v>
      </c>
      <c r="G83" s="67" t="s">
        <v>227</v>
      </c>
      <c r="H83" s="67" t="s">
        <v>228</v>
      </c>
      <c r="I83" s="67" t="s">
        <v>223</v>
      </c>
      <c r="J83" s="382"/>
      <c r="K83" s="67" t="str">
        <f>'1.4.3 Transport'!D64</f>
        <v>Not commenced</v>
      </c>
      <c r="L83" s="67" t="s">
        <v>562</v>
      </c>
      <c r="M83" s="382"/>
      <c r="N83" s="67" t="s">
        <v>627</v>
      </c>
      <c r="O83" s="67"/>
      <c r="P83" s="63" t="s">
        <v>992</v>
      </c>
      <c r="Q83" s="67"/>
      <c r="R83" s="382"/>
      <c r="S83" s="67"/>
      <c r="T83" s="67"/>
    </row>
    <row r="84" spans="1:20" s="66" customFormat="1" ht="36" x14ac:dyDescent="0.2">
      <c r="A84" s="234" t="s">
        <v>293</v>
      </c>
      <c r="B84" s="234" t="s">
        <v>226</v>
      </c>
      <c r="C84" s="326" t="str">
        <f>'1.4.3 Transport'!B65</f>
        <v>Shared Use Pedestrian Bridge 2: Toolern Creek
Construction of a shared use pedestrian bridge over the Toolern Creek.</v>
      </c>
      <c r="D84" s="423">
        <v>0</v>
      </c>
      <c r="E84" s="423">
        <v>1389467</v>
      </c>
      <c r="F84" s="423">
        <f t="shared" si="2"/>
        <v>1389467</v>
      </c>
      <c r="G84" s="67" t="s">
        <v>227</v>
      </c>
      <c r="H84" s="67" t="s">
        <v>228</v>
      </c>
      <c r="I84" s="67" t="s">
        <v>223</v>
      </c>
      <c r="J84" s="382"/>
      <c r="K84" s="67" t="str">
        <f>'1.4.3 Transport'!D65</f>
        <v>Not commenced</v>
      </c>
      <c r="L84" s="67" t="s">
        <v>562</v>
      </c>
      <c r="M84" s="382"/>
      <c r="N84" s="67" t="s">
        <v>627</v>
      </c>
      <c r="O84" s="67"/>
      <c r="P84" s="63" t="s">
        <v>992</v>
      </c>
      <c r="Q84" s="67"/>
      <c r="R84" s="382"/>
      <c r="S84" s="67"/>
      <c r="T84" s="67"/>
    </row>
    <row r="85" spans="1:20" s="66" customFormat="1" ht="36" x14ac:dyDescent="0.2">
      <c r="A85" s="234" t="s">
        <v>294</v>
      </c>
      <c r="B85" s="234" t="s">
        <v>226</v>
      </c>
      <c r="C85" s="326" t="str">
        <f>'1.4.3 Transport'!B66</f>
        <v>Shared Use Pedestrian Bridge 3: Toolern Creek
Construction of a shared use pedestrian bridge over the Toolern Creek.</v>
      </c>
      <c r="D85" s="423">
        <v>0</v>
      </c>
      <c r="E85" s="423">
        <v>1764829</v>
      </c>
      <c r="F85" s="423">
        <f t="shared" si="2"/>
        <v>1764829</v>
      </c>
      <c r="G85" s="67" t="s">
        <v>227</v>
      </c>
      <c r="H85" s="67" t="s">
        <v>228</v>
      </c>
      <c r="I85" s="67" t="s">
        <v>223</v>
      </c>
      <c r="J85" s="382"/>
      <c r="K85" s="67" t="str">
        <f>'1.4.3 Transport'!D66</f>
        <v>Not commenced</v>
      </c>
      <c r="L85" s="67" t="s">
        <v>562</v>
      </c>
      <c r="M85" s="382"/>
      <c r="N85" s="67" t="s">
        <v>627</v>
      </c>
      <c r="O85" s="67"/>
      <c r="P85" s="63" t="s">
        <v>992</v>
      </c>
      <c r="Q85" s="67"/>
      <c r="R85" s="382"/>
      <c r="S85" s="67"/>
      <c r="T85" s="67"/>
    </row>
    <row r="86" spans="1:20" s="66" customFormat="1" ht="36" x14ac:dyDescent="0.2">
      <c r="A86" s="234" t="s">
        <v>295</v>
      </c>
      <c r="B86" s="234" t="s">
        <v>226</v>
      </c>
      <c r="C86" s="326" t="str">
        <f>'1.4.3 Transport'!B67</f>
        <v>Pedestrian Underpass 1: Melbourne Ballarat Railway
Construction of a pedestrian underpass.</v>
      </c>
      <c r="D86" s="423">
        <v>0</v>
      </c>
      <c r="E86" s="423">
        <v>3762450</v>
      </c>
      <c r="F86" s="423">
        <f t="shared" si="2"/>
        <v>3762450</v>
      </c>
      <c r="G86" s="67" t="s">
        <v>227</v>
      </c>
      <c r="H86" s="67" t="s">
        <v>228</v>
      </c>
      <c r="I86" s="67" t="s">
        <v>223</v>
      </c>
      <c r="J86" s="382"/>
      <c r="K86" s="67" t="str">
        <f>'1.4.3 Transport'!D67</f>
        <v>Not commenced</v>
      </c>
      <c r="L86" s="67" t="s">
        <v>562</v>
      </c>
      <c r="M86" s="382"/>
      <c r="N86" s="67" t="s">
        <v>627</v>
      </c>
      <c r="O86" s="67"/>
      <c r="P86" s="63" t="s">
        <v>992</v>
      </c>
      <c r="Q86" s="67"/>
      <c r="R86" s="382"/>
      <c r="S86" s="67"/>
      <c r="T86" s="67"/>
    </row>
    <row r="87" spans="1:20" s="66" customFormat="1" ht="36" x14ac:dyDescent="0.2">
      <c r="A87" s="234" t="s">
        <v>296</v>
      </c>
      <c r="B87" s="234" t="s">
        <v>226</v>
      </c>
      <c r="C87" s="326" t="str">
        <f>'1.4.3 Transport'!B68</f>
        <v>Pedestrian Underpass 2: Melbourne Ballarat Railway
Construction of a pedestrian underpass.</v>
      </c>
      <c r="D87" s="423">
        <v>0</v>
      </c>
      <c r="E87" s="423">
        <f>E86</f>
        <v>3762450</v>
      </c>
      <c r="F87" s="423">
        <f t="shared" si="2"/>
        <v>3762450</v>
      </c>
      <c r="G87" s="67" t="s">
        <v>227</v>
      </c>
      <c r="H87" s="67" t="s">
        <v>228</v>
      </c>
      <c r="I87" s="67" t="s">
        <v>223</v>
      </c>
      <c r="J87" s="382"/>
      <c r="K87" s="67" t="str">
        <f>'1.4.3 Transport'!D68</f>
        <v>Not commenced</v>
      </c>
      <c r="L87" s="67" t="s">
        <v>562</v>
      </c>
      <c r="M87" s="382"/>
      <c r="N87" s="67" t="s">
        <v>627</v>
      </c>
      <c r="O87" s="67"/>
      <c r="P87" s="63" t="s">
        <v>992</v>
      </c>
      <c r="Q87" s="67"/>
      <c r="R87" s="382"/>
      <c r="S87" s="67"/>
      <c r="T87" s="67"/>
    </row>
    <row r="88" spans="1:20" s="66" customFormat="1" ht="24" x14ac:dyDescent="0.2">
      <c r="A88" s="234" t="s">
        <v>297</v>
      </c>
      <c r="B88" s="234" t="s">
        <v>226</v>
      </c>
      <c r="C88" s="326" t="str">
        <f>'1.4.3 Transport'!B69</f>
        <v>Deleted</v>
      </c>
      <c r="D88" s="423">
        <v>0</v>
      </c>
      <c r="E88" s="423">
        <v>0</v>
      </c>
      <c r="F88" s="423">
        <f t="shared" si="2"/>
        <v>0</v>
      </c>
      <c r="G88" s="397"/>
      <c r="H88" s="67"/>
      <c r="I88" s="67"/>
      <c r="J88" s="382"/>
      <c r="K88" s="67" t="str">
        <f>'1.4.3 Transport'!D69</f>
        <v>Project deleted as it has been replaced by BD16</v>
      </c>
      <c r="L88" s="326"/>
      <c r="M88" s="382"/>
      <c r="N88" s="67"/>
      <c r="O88" s="67" t="str">
        <f>'1.4.3 Transport'!E69</f>
        <v>Project deleted as it has been replaced by BD16</v>
      </c>
      <c r="P88" s="67"/>
      <c r="Q88" s="67"/>
      <c r="R88" s="382"/>
      <c r="S88" s="67"/>
      <c r="T88" s="323">
        <v>2973499</v>
      </c>
    </row>
    <row r="89" spans="1:20" s="66" customFormat="1" ht="36" x14ac:dyDescent="0.2">
      <c r="A89" s="234" t="s">
        <v>298</v>
      </c>
      <c r="B89" s="234" t="s">
        <v>226</v>
      </c>
      <c r="C89" s="326" t="str">
        <f>'1.4.3 Transport'!B70</f>
        <v>Pedestrian Underpass 3: Melbourne Ballarat Railway
Construction of a pedestrian underpass.</v>
      </c>
      <c r="D89" s="423">
        <v>0</v>
      </c>
      <c r="E89" s="423">
        <f>E87</f>
        <v>3762450</v>
      </c>
      <c r="F89" s="423">
        <f t="shared" si="2"/>
        <v>3762450</v>
      </c>
      <c r="G89" s="67" t="s">
        <v>227</v>
      </c>
      <c r="H89" s="67" t="s">
        <v>228</v>
      </c>
      <c r="I89" s="67" t="s">
        <v>223</v>
      </c>
      <c r="J89" s="382"/>
      <c r="K89" s="67" t="str">
        <f>'1.4.3 Transport'!D70</f>
        <v>Not commenced</v>
      </c>
      <c r="L89" s="67" t="s">
        <v>562</v>
      </c>
      <c r="M89" s="382"/>
      <c r="N89" s="67" t="s">
        <v>627</v>
      </c>
      <c r="O89" s="67"/>
      <c r="P89" s="63" t="s">
        <v>992</v>
      </c>
      <c r="Q89" s="67"/>
      <c r="R89" s="382"/>
      <c r="S89" s="67"/>
      <c r="T89" s="67"/>
    </row>
    <row r="90" spans="1:20" s="66" customFormat="1" ht="36" x14ac:dyDescent="0.2">
      <c r="A90" s="234" t="s">
        <v>299</v>
      </c>
      <c r="B90" s="234" t="s">
        <v>226</v>
      </c>
      <c r="C90" s="326" t="str">
        <f>'1.4.3 Transport'!B71</f>
        <v>Deleted</v>
      </c>
      <c r="D90" s="423">
        <v>0</v>
      </c>
      <c r="E90" s="423">
        <v>0</v>
      </c>
      <c r="F90" s="423">
        <f t="shared" si="2"/>
        <v>0</v>
      </c>
      <c r="G90" s="67"/>
      <c r="H90" s="67"/>
      <c r="I90" s="67"/>
      <c r="J90" s="382"/>
      <c r="K90" s="67" t="str">
        <f>'1.4.3 Transport'!D71</f>
        <v>Project deleted as this underpass will be included in the Paynes Road Station construction project</v>
      </c>
      <c r="L90" s="326"/>
      <c r="M90" s="382"/>
      <c r="N90" s="67"/>
      <c r="O90" s="67" t="str">
        <f>'1.4.3 Transport'!E71</f>
        <v>Project deleted as this underpass will be included in the Paynes Road Station construction project</v>
      </c>
      <c r="P90" s="67"/>
      <c r="Q90" s="67"/>
      <c r="R90" s="382"/>
      <c r="S90" s="67"/>
      <c r="T90" s="323">
        <v>2973499</v>
      </c>
    </row>
    <row r="91" spans="1:20" s="66" customFormat="1" ht="36" x14ac:dyDescent="0.2">
      <c r="A91" s="234" t="s">
        <v>300</v>
      </c>
      <c r="B91" s="234" t="s">
        <v>226</v>
      </c>
      <c r="C91" s="326" t="str">
        <f>'1.4.3 Transport'!B72</f>
        <v>Deleted</v>
      </c>
      <c r="D91" s="423">
        <v>0</v>
      </c>
      <c r="E91" s="423">
        <v>0</v>
      </c>
      <c r="F91" s="423">
        <f t="shared" si="2"/>
        <v>0</v>
      </c>
      <c r="G91" s="67"/>
      <c r="H91" s="67"/>
      <c r="I91" s="67"/>
      <c r="J91" s="382"/>
      <c r="K91" s="67" t="str">
        <f>'1.4.3 Transport'!D72</f>
        <v>Project deleted as this underpass will be included in the Paynes Road Station construction project</v>
      </c>
      <c r="L91" s="326"/>
      <c r="M91" s="382"/>
      <c r="N91" s="67"/>
      <c r="O91" s="67" t="str">
        <f>'1.4.3 Transport'!E72</f>
        <v>Project deleted as an adequate number of pedestrian crossings over the Toolern Creek have been provided</v>
      </c>
      <c r="P91" s="67"/>
      <c r="Q91" s="67"/>
      <c r="R91" s="382"/>
      <c r="S91" s="67"/>
      <c r="T91" s="323">
        <v>1384668</v>
      </c>
    </row>
    <row r="92" spans="1:20" s="66" customFormat="1" ht="36" x14ac:dyDescent="0.2">
      <c r="A92" s="234" t="s">
        <v>301</v>
      </c>
      <c r="B92" s="234" t="s">
        <v>226</v>
      </c>
      <c r="C92" s="326" t="str">
        <f>'1.4.3 Transport'!B73</f>
        <v>Deleted</v>
      </c>
      <c r="D92" s="423">
        <v>0</v>
      </c>
      <c r="E92" s="423">
        <v>0</v>
      </c>
      <c r="F92" s="423">
        <f t="shared" si="2"/>
        <v>0</v>
      </c>
      <c r="G92" s="67"/>
      <c r="H92" s="67"/>
      <c r="I92" s="67"/>
      <c r="J92" s="382"/>
      <c r="K92" s="67" t="str">
        <f>'1.4.3 Transport'!D73</f>
        <v>Project deleted as this underpass will be included in the Paynes Road Station construction project</v>
      </c>
      <c r="L92" s="326"/>
      <c r="M92" s="382"/>
      <c r="N92" s="67"/>
      <c r="O92" s="67" t="str">
        <f>'1.4.3 Transport'!E73</f>
        <v>Project deleted as an adequate number of pedestrian crossings over the Toolern Creek have been provided</v>
      </c>
      <c r="P92" s="67"/>
      <c r="Q92" s="67"/>
      <c r="R92" s="382"/>
      <c r="S92" s="67"/>
      <c r="T92" s="323">
        <v>1384668</v>
      </c>
    </row>
    <row r="93" spans="1:20" s="66" customFormat="1" ht="36" x14ac:dyDescent="0.2">
      <c r="A93" s="234" t="s">
        <v>302</v>
      </c>
      <c r="B93" s="234" t="s">
        <v>226</v>
      </c>
      <c r="C93" s="326" t="str">
        <f>'1.4.3 Transport'!B74</f>
        <v>Shared Use Pedestrian Bridge 4: Toolern Creek
Construction of a shared use pedestrian bridge over the Toolern Creek.</v>
      </c>
      <c r="D93" s="423">
        <v>0</v>
      </c>
      <c r="E93" s="423">
        <f>E85</f>
        <v>1764829</v>
      </c>
      <c r="F93" s="423">
        <f t="shared" si="2"/>
        <v>1764829</v>
      </c>
      <c r="G93" s="67" t="s">
        <v>227</v>
      </c>
      <c r="H93" s="67" t="s">
        <v>228</v>
      </c>
      <c r="I93" s="67" t="s">
        <v>223</v>
      </c>
      <c r="J93" s="382"/>
      <c r="K93" s="67" t="str">
        <f>'1.4.3 Transport'!D74</f>
        <v>Not commenced</v>
      </c>
      <c r="L93" s="67" t="s">
        <v>562</v>
      </c>
      <c r="M93" s="382"/>
      <c r="N93" s="67" t="s">
        <v>627</v>
      </c>
      <c r="O93" s="67"/>
      <c r="P93" s="63" t="s">
        <v>992</v>
      </c>
      <c r="Q93" s="67"/>
      <c r="R93" s="382"/>
      <c r="S93" s="67"/>
      <c r="T93" s="67"/>
    </row>
    <row r="94" spans="1:20" s="66" customFormat="1" ht="36" x14ac:dyDescent="0.2">
      <c r="A94" s="234" t="s">
        <v>507</v>
      </c>
      <c r="B94" s="234" t="s">
        <v>226</v>
      </c>
      <c r="C94" s="326" t="str">
        <f>'1.4.3 Transport'!B75</f>
        <v>Ferris Road Rail Overpass
Rail-road grade separation at the intersection of Ferris Road and the Melbourne-Ballarat rail corridor.</v>
      </c>
      <c r="D94" s="424">
        <v>0</v>
      </c>
      <c r="E94" s="424">
        <v>0</v>
      </c>
      <c r="F94" s="423">
        <v>0</v>
      </c>
      <c r="G94" s="67" t="s">
        <v>227</v>
      </c>
      <c r="H94" s="67" t="s">
        <v>228</v>
      </c>
      <c r="I94" s="67" t="s">
        <v>567</v>
      </c>
      <c r="J94" s="382"/>
      <c r="K94" s="67" t="str">
        <f>'1.4.3 Transport'!D75</f>
        <v>New project from CMAC UDF</v>
      </c>
      <c r="L94" s="67" t="s">
        <v>562</v>
      </c>
      <c r="M94" s="382"/>
      <c r="N94" s="67"/>
      <c r="O94" s="67" t="str">
        <f>'1.4.3 Transport'!E75</f>
        <v>New bridge project from the Cobblebank Metropolitan Activity Centre Urban Design Framework</v>
      </c>
      <c r="P94" s="63" t="s">
        <v>992</v>
      </c>
      <c r="Q94" s="67" t="s">
        <v>962</v>
      </c>
      <c r="R94" s="382"/>
      <c r="S94" s="67"/>
      <c r="T94" s="67"/>
    </row>
    <row r="95" spans="1:20" s="66" customFormat="1" ht="36" x14ac:dyDescent="0.2">
      <c r="A95" s="234" t="s">
        <v>508</v>
      </c>
      <c r="B95" s="234" t="s">
        <v>226</v>
      </c>
      <c r="C95" s="326" t="str">
        <f>'1.4.3 Transport'!B76</f>
        <v>East Road Rail Overpass
Construction of a rail-road grade separation at the intersection of East Road and the Melbourne-Ballarat rail corridor (interim standard).</v>
      </c>
      <c r="D95" s="424">
        <v>0</v>
      </c>
      <c r="E95" s="424">
        <v>13833445</v>
      </c>
      <c r="F95" s="423">
        <f t="shared" si="2"/>
        <v>13833445</v>
      </c>
      <c r="G95" s="67" t="s">
        <v>227</v>
      </c>
      <c r="H95" s="67" t="s">
        <v>228</v>
      </c>
      <c r="I95" s="67" t="s">
        <v>223</v>
      </c>
      <c r="J95" s="382"/>
      <c r="K95" s="67" t="str">
        <f>'1.4.3 Transport'!D76</f>
        <v>New project from CMAC UDF</v>
      </c>
      <c r="L95" s="67" t="s">
        <v>562</v>
      </c>
      <c r="M95" s="382"/>
      <c r="N95" s="67"/>
      <c r="O95" s="67" t="str">
        <f>'1.4.3 Transport'!E76</f>
        <v>New bridge project from the Cobblebank Metropolitan Activity Centre Urban Design Framework</v>
      </c>
      <c r="P95" s="63" t="s">
        <v>992</v>
      </c>
      <c r="Q95" s="67"/>
      <c r="R95" s="382"/>
      <c r="S95" s="67"/>
      <c r="T95" s="67"/>
    </row>
    <row r="96" spans="1:20" s="66" customFormat="1" ht="60" x14ac:dyDescent="0.2">
      <c r="A96" s="234" t="s">
        <v>509</v>
      </c>
      <c r="B96" s="234" t="s">
        <v>226</v>
      </c>
      <c r="C96" s="326" t="str">
        <f>'1.4.3 Transport'!B77</f>
        <v>Paynes Road Rail Overpass
Construction of a rail-road grade separation at the intersection of Paynes Road and the Melbourne-Ballarat rail corridor (interim standard).</v>
      </c>
      <c r="D96" s="424">
        <v>0</v>
      </c>
      <c r="E96" s="424">
        <v>14876605</v>
      </c>
      <c r="F96" s="423">
        <f t="shared" si="2"/>
        <v>14876605</v>
      </c>
      <c r="G96" s="67" t="s">
        <v>227</v>
      </c>
      <c r="H96" s="67" t="s">
        <v>228</v>
      </c>
      <c r="I96" s="67" t="s">
        <v>565</v>
      </c>
      <c r="J96" s="382"/>
      <c r="K96" s="67" t="str">
        <f>'1.4.3 Transport'!D77</f>
        <v>New project from Rockbank DCP - BR04</v>
      </c>
      <c r="L96" s="321" t="s">
        <v>782</v>
      </c>
      <c r="M96" s="382"/>
      <c r="N96" s="67"/>
      <c r="O96" s="67" t="str">
        <f>'1.4.3 Transport'!E77</f>
        <v>Missing bridge project from the Rockbank Development Contributions Plan.</v>
      </c>
      <c r="P96" s="67" t="s">
        <v>724</v>
      </c>
      <c r="Q96" s="67"/>
      <c r="R96" s="382"/>
      <c r="S96" s="67"/>
      <c r="T96" s="67"/>
    </row>
    <row r="97" spans="1:32" s="66" customFormat="1" ht="60" x14ac:dyDescent="0.2">
      <c r="A97" s="234" t="s">
        <v>510</v>
      </c>
      <c r="B97" s="234" t="s">
        <v>226</v>
      </c>
      <c r="C97" s="326" t="str">
        <f>'1.4.3 Transport'!B78</f>
        <v>Paynes Road Level Crossing Upgrade
Construction of an upgrade to the level crossing at the intersection of Paynes Road and the Melbourne-Ballarat rail corridor, including automatic gates and pedestrian crossings (ultimate standard). 
Note: Paynes Road level crossing will be closed upon completion of the construction of the Paynes Road Overpass (BD17).</v>
      </c>
      <c r="D97" s="424">
        <v>0</v>
      </c>
      <c r="E97" s="424">
        <v>628069.88</v>
      </c>
      <c r="F97" s="423">
        <f t="shared" si="2"/>
        <v>628069.88</v>
      </c>
      <c r="G97" s="67" t="s">
        <v>227</v>
      </c>
      <c r="H97" s="67" t="s">
        <v>228</v>
      </c>
      <c r="I97" s="67" t="s">
        <v>223</v>
      </c>
      <c r="J97" s="382"/>
      <c r="K97" s="67" t="str">
        <f>'1.4.3 Transport'!D78</f>
        <v>New project from Rockbank DCP - BR07</v>
      </c>
      <c r="L97" s="321" t="s">
        <v>782</v>
      </c>
      <c r="M97" s="382"/>
      <c r="N97" s="67"/>
      <c r="O97" s="67" t="str">
        <f>'1.4.3 Transport'!E78</f>
        <v>Missing bridge project from the Rockbank Development Contributions Plan.</v>
      </c>
      <c r="P97" s="67" t="s">
        <v>723</v>
      </c>
      <c r="Q97" s="67"/>
      <c r="R97" s="382"/>
      <c r="S97" s="67"/>
      <c r="T97" s="67"/>
    </row>
    <row r="98" spans="1:32" s="66" customFormat="1" ht="36" x14ac:dyDescent="0.2">
      <c r="A98" s="234" t="s">
        <v>515</v>
      </c>
      <c r="B98" s="234" t="s">
        <v>226</v>
      </c>
      <c r="C98" s="326" t="str">
        <f>'1.4.3 Transport'!B79</f>
        <v>Mount Cottrell Road Freeway Interchange
Purchase of land for the construction of a half diamond interchange at the intersection of Mount Cottrell Road and the Western Freeway corridor (ultimate standard, southern approach only)</v>
      </c>
      <c r="D98" s="424">
        <v>750000</v>
      </c>
      <c r="E98" s="424">
        <v>0</v>
      </c>
      <c r="F98" s="423">
        <f t="shared" si="2"/>
        <v>750000</v>
      </c>
      <c r="G98" s="67" t="s">
        <v>227</v>
      </c>
      <c r="H98" s="67" t="s">
        <v>228</v>
      </c>
      <c r="I98" s="67" t="s">
        <v>566</v>
      </c>
      <c r="J98" s="382"/>
      <c r="K98" s="67" t="str">
        <f>'1.4.3 Transport'!D79</f>
        <v>New project from Paynes Road DCP</v>
      </c>
      <c r="L98" s="326"/>
      <c r="M98" s="382"/>
      <c r="N98" s="67"/>
      <c r="O98" s="67" t="str">
        <f>'1.4.3 Transport'!E79</f>
        <v xml:space="preserve">Missing bridge project from the Paynes Road Precinct Structure Plan. </v>
      </c>
      <c r="P98" s="67" t="s">
        <v>668</v>
      </c>
      <c r="Q98" s="67" t="s">
        <v>962</v>
      </c>
      <c r="R98" s="382"/>
      <c r="S98" s="67"/>
      <c r="T98" s="67"/>
    </row>
    <row r="99" spans="1:32" s="66" customFormat="1" ht="36" x14ac:dyDescent="0.2">
      <c r="A99" s="234" t="s">
        <v>516</v>
      </c>
      <c r="B99" s="234" t="s">
        <v>226</v>
      </c>
      <c r="C99" s="326" t="str">
        <f>'1.4.3 Transport'!B80</f>
        <v>Mount Cottrell Road Rail Overpass
Purchase of land for the construction of a rail-road grade separation at the intersection of Mount Cottrell Road and the Melbourne-Ballarat rail corridor (ultimate standard).</v>
      </c>
      <c r="D99" s="424">
        <v>225000</v>
      </c>
      <c r="E99" s="424">
        <v>0</v>
      </c>
      <c r="F99" s="423">
        <f t="shared" si="2"/>
        <v>225000</v>
      </c>
      <c r="G99" s="67" t="s">
        <v>227</v>
      </c>
      <c r="H99" s="67" t="s">
        <v>228</v>
      </c>
      <c r="I99" s="67" t="s">
        <v>223</v>
      </c>
      <c r="J99" s="382"/>
      <c r="K99" s="67" t="str">
        <f>'1.4.3 Transport'!D80</f>
        <v>New project from Paynes Road DCP
Land on east side acquired</v>
      </c>
      <c r="L99" s="326"/>
      <c r="M99" s="382"/>
      <c r="N99" s="67"/>
      <c r="O99" s="67" t="str">
        <f>'1.4.3 Transport'!E80</f>
        <v>Missing bridge project from the Paynes Road Precinct Structure Plan.</v>
      </c>
      <c r="P99" s="67" t="s">
        <v>668</v>
      </c>
      <c r="Q99" s="67" t="s">
        <v>962</v>
      </c>
      <c r="R99" s="382"/>
      <c r="S99" s="67"/>
      <c r="T99" s="67"/>
    </row>
    <row r="100" spans="1:32" s="66" customFormat="1" ht="72" x14ac:dyDescent="0.2">
      <c r="A100" s="234" t="s">
        <v>517</v>
      </c>
      <c r="B100" s="234" t="s">
        <v>226</v>
      </c>
      <c r="C100" s="326" t="str">
        <f>'1.4.3 Transport'!B81</f>
        <v>Mount Cottrell Road Level Crossing Upgrade
Construction of an upgrade to the level crossing at the intersection of Mount Cottrell Road and the Melbourne-Ballarat rail corridor, including automatic gates and pedestrian crossings (ultimate standard). 
Note: Mount Cottrell Road level crossing will be closed upon completion of the construction of the Mount Cottrell Road Overpass (BD20).</v>
      </c>
      <c r="D100" s="424">
        <v>1000000</v>
      </c>
      <c r="E100" s="424">
        <v>534196</v>
      </c>
      <c r="F100" s="423">
        <f t="shared" si="2"/>
        <v>1534196</v>
      </c>
      <c r="G100" s="67" t="s">
        <v>227</v>
      </c>
      <c r="H100" s="67" t="s">
        <v>228</v>
      </c>
      <c r="I100" s="67" t="s">
        <v>223</v>
      </c>
      <c r="J100" s="382"/>
      <c r="K100" s="67" t="str">
        <f>'1.4.3 Transport'!D81</f>
        <v>New project from Paynes Road DCP</v>
      </c>
      <c r="L100" s="321" t="s">
        <v>791</v>
      </c>
      <c r="M100" s="382"/>
      <c r="N100" s="67"/>
      <c r="O100" s="67" t="str">
        <f>'1.4.3 Transport'!E81</f>
        <v>Missing bridge project from the Paynes Road Precinct Structure Plan.</v>
      </c>
      <c r="P100" s="67" t="s">
        <v>667</v>
      </c>
      <c r="Q100" s="67" t="s">
        <v>962</v>
      </c>
      <c r="R100" s="382"/>
      <c r="S100" s="67"/>
      <c r="T100" s="67"/>
    </row>
    <row r="101" spans="1:32" s="64" customFormat="1" x14ac:dyDescent="0.2">
      <c r="A101" s="383" t="s">
        <v>14</v>
      </c>
      <c r="B101" s="383"/>
      <c r="C101" s="383"/>
      <c r="D101" s="389">
        <f t="shared" ref="D101:E101" si="3">SUM(D80:D100)</f>
        <v>1975000</v>
      </c>
      <c r="E101" s="389">
        <f t="shared" si="3"/>
        <v>74636480.269999996</v>
      </c>
      <c r="F101" s="389">
        <f>SUM(F80:F100)</f>
        <v>76611480.269999996</v>
      </c>
      <c r="G101" s="236"/>
      <c r="H101" s="236"/>
      <c r="I101" s="236"/>
      <c r="J101" s="391"/>
      <c r="K101" s="65"/>
      <c r="L101" s="394"/>
      <c r="M101" s="383"/>
      <c r="N101" s="65"/>
      <c r="O101" s="65"/>
      <c r="P101" s="65"/>
      <c r="Q101" s="65"/>
      <c r="R101" s="391"/>
      <c r="S101" s="65"/>
      <c r="T101" s="65"/>
    </row>
    <row r="102" spans="1:32" s="62" customFormat="1" x14ac:dyDescent="0.2">
      <c r="A102" s="418" t="s">
        <v>303</v>
      </c>
      <c r="B102" s="58"/>
      <c r="C102" s="58"/>
      <c r="D102" s="304"/>
      <c r="E102" s="304"/>
      <c r="F102" s="304"/>
      <c r="G102" s="58"/>
      <c r="H102" s="58"/>
      <c r="I102" s="58"/>
      <c r="J102" s="81"/>
      <c r="K102" s="58"/>
      <c r="L102" s="58"/>
      <c r="M102" s="192"/>
      <c r="N102" s="82"/>
      <c r="O102" s="58"/>
      <c r="P102" s="58"/>
      <c r="Q102" s="58"/>
      <c r="R102" s="477"/>
      <c r="S102" s="58"/>
      <c r="T102" s="58"/>
      <c r="U102" s="59"/>
      <c r="V102" s="58"/>
      <c r="W102" s="58"/>
      <c r="X102" s="58"/>
      <c r="Y102" s="58"/>
      <c r="Z102" s="60"/>
      <c r="AA102" s="60"/>
      <c r="AB102" s="60"/>
      <c r="AC102" s="60"/>
      <c r="AD102" s="60"/>
      <c r="AE102" s="60"/>
      <c r="AF102" s="61"/>
    </row>
    <row r="103" spans="1:32" s="66" customFormat="1" ht="36" x14ac:dyDescent="0.2">
      <c r="A103" s="67" t="s">
        <v>304</v>
      </c>
      <c r="B103" s="67" t="s">
        <v>219</v>
      </c>
      <c r="C103" s="326" t="str">
        <f>'1.4.4 Public Transport'!B2</f>
        <v>Bus Interchange
Purchase land to provide for Local Bus Interchange (1 Hectare)</v>
      </c>
      <c r="D103" s="419">
        <v>3300000</v>
      </c>
      <c r="E103" s="419">
        <v>0</v>
      </c>
      <c r="F103" s="419">
        <f>D103+E103</f>
        <v>3300000</v>
      </c>
      <c r="G103" s="425" t="s">
        <v>227</v>
      </c>
      <c r="H103" s="425" t="s">
        <v>228</v>
      </c>
      <c r="I103" s="67" t="s">
        <v>563</v>
      </c>
      <c r="J103" s="382"/>
      <c r="K103" s="67" t="str">
        <f>'1.4.4 Public Transport'!D2</f>
        <v>Land acquired</v>
      </c>
      <c r="L103" s="326"/>
      <c r="M103" s="382"/>
      <c r="N103" s="67" t="s">
        <v>627</v>
      </c>
      <c r="O103" s="67"/>
      <c r="P103" s="67" t="s">
        <v>668</v>
      </c>
      <c r="Q103" s="67" t="s">
        <v>962</v>
      </c>
      <c r="R103" s="382"/>
      <c r="S103" s="67"/>
      <c r="T103" s="67"/>
    </row>
    <row r="104" spans="1:32" s="64" customFormat="1" x14ac:dyDescent="0.2">
      <c r="A104" s="383" t="s">
        <v>14</v>
      </c>
      <c r="B104" s="383"/>
      <c r="C104" s="383"/>
      <c r="D104" s="386">
        <f>SUM(D103)</f>
        <v>3300000</v>
      </c>
      <c r="E104" s="386">
        <f t="shared" ref="E104:F104" si="4">SUM(E103)</f>
        <v>0</v>
      </c>
      <c r="F104" s="386">
        <f t="shared" si="4"/>
        <v>3300000</v>
      </c>
      <c r="G104" s="236"/>
      <c r="H104" s="236"/>
      <c r="I104" s="236"/>
      <c r="J104" s="391"/>
      <c r="K104" s="65"/>
      <c r="L104" s="394"/>
      <c r="M104" s="383"/>
      <c r="N104" s="65"/>
      <c r="O104" s="65"/>
      <c r="P104" s="65"/>
      <c r="Q104" s="65"/>
      <c r="R104" s="391"/>
      <c r="S104" s="65"/>
      <c r="T104" s="65"/>
    </row>
    <row r="105" spans="1:32" s="62" customFormat="1" x14ac:dyDescent="0.2">
      <c r="A105" s="418" t="s">
        <v>360</v>
      </c>
      <c r="B105" s="58"/>
      <c r="C105" s="58"/>
      <c r="D105" s="304"/>
      <c r="E105" s="304"/>
      <c r="F105" s="304"/>
      <c r="G105" s="58"/>
      <c r="H105" s="58"/>
      <c r="I105" s="58"/>
      <c r="J105" s="81"/>
      <c r="K105" s="58"/>
      <c r="L105" s="58"/>
      <c r="M105" s="192"/>
      <c r="N105" s="82"/>
      <c r="O105" s="58"/>
      <c r="P105" s="58"/>
      <c r="Q105" s="58"/>
      <c r="R105" s="477"/>
      <c r="S105" s="58"/>
      <c r="T105" s="58"/>
      <c r="U105" s="59"/>
      <c r="V105" s="58"/>
      <c r="W105" s="58"/>
      <c r="X105" s="58"/>
      <c r="Y105" s="58"/>
      <c r="Z105" s="60"/>
      <c r="AA105" s="60"/>
      <c r="AB105" s="60"/>
      <c r="AC105" s="60"/>
      <c r="AD105" s="60"/>
      <c r="AE105" s="60"/>
      <c r="AF105" s="61"/>
    </row>
    <row r="106" spans="1:32" s="68" customFormat="1" ht="36" x14ac:dyDescent="0.2">
      <c r="A106" s="67" t="s">
        <v>361</v>
      </c>
      <c r="B106" s="67" t="s">
        <v>226</v>
      </c>
      <c r="C106" s="326" t="str">
        <f>'1.4.6 Active Recreation'!B21</f>
        <v>Weir Views North Sports Reserve
Purchase of 9.83 hectares of land for active open space for AR01 and AR02</v>
      </c>
      <c r="D106" s="419">
        <v>19650000</v>
      </c>
      <c r="E106" s="419">
        <v>0</v>
      </c>
      <c r="F106" s="419">
        <f>D106+E106</f>
        <v>19650000</v>
      </c>
      <c r="G106" s="67" t="s">
        <v>332</v>
      </c>
      <c r="H106" s="67" t="s">
        <v>307</v>
      </c>
      <c r="I106" s="67" t="s">
        <v>967</v>
      </c>
      <c r="J106" s="391"/>
      <c r="K106" s="67" t="str">
        <f>'1.4.6 Active Recreation'!D21</f>
        <v>S173 Agreement to purchase land</v>
      </c>
      <c r="L106" s="426"/>
      <c r="M106" s="391"/>
      <c r="N106" s="67" t="s">
        <v>627</v>
      </c>
      <c r="O106" s="244"/>
      <c r="P106" s="67" t="s">
        <v>668</v>
      </c>
      <c r="Q106" s="67" t="s">
        <v>962</v>
      </c>
      <c r="R106" s="391"/>
      <c r="S106" s="244"/>
      <c r="T106" s="244"/>
    </row>
    <row r="107" spans="1:32" s="68" customFormat="1" ht="36" x14ac:dyDescent="0.2">
      <c r="A107" s="67" t="s">
        <v>362</v>
      </c>
      <c r="B107" s="67" t="s">
        <v>226</v>
      </c>
      <c r="C107" s="326" t="str">
        <f>'1.4.6 Active Recreation'!B22</f>
        <v>Weir Views East Sports Reserve
Purchase of 4.00 hectares of land for active open space for AR03 and AR04</v>
      </c>
      <c r="D107" s="419">
        <v>9600000</v>
      </c>
      <c r="E107" s="419">
        <v>0</v>
      </c>
      <c r="F107" s="419">
        <f t="shared" ref="F107:F114" si="5">D107+E107</f>
        <v>9600000</v>
      </c>
      <c r="G107" s="67" t="s">
        <v>332</v>
      </c>
      <c r="H107" s="67" t="s">
        <v>307</v>
      </c>
      <c r="I107" s="67" t="s">
        <v>223</v>
      </c>
      <c r="J107" s="391"/>
      <c r="K107" s="67" t="str">
        <f>'1.4.6 Active Recreation'!D22</f>
        <v>S173 Agreement to purchase land</v>
      </c>
      <c r="L107" s="426"/>
      <c r="M107" s="391"/>
      <c r="N107" s="67" t="s">
        <v>627</v>
      </c>
      <c r="O107" s="244"/>
      <c r="P107" s="67" t="s">
        <v>668</v>
      </c>
      <c r="Q107" s="67" t="s">
        <v>962</v>
      </c>
      <c r="R107" s="391"/>
      <c r="S107" s="244"/>
      <c r="T107" s="244"/>
    </row>
    <row r="108" spans="1:32" s="68" customFormat="1" ht="36" x14ac:dyDescent="0.2">
      <c r="A108" s="67" t="s">
        <v>363</v>
      </c>
      <c r="B108" s="67" t="s">
        <v>226</v>
      </c>
      <c r="C108" s="326" t="str">
        <f>'1.4.6 Active Recreation'!B23</f>
        <v>Weir Views South Sports Reserve
Purchase of 8.96 hectares of land for active open space for AR05 and AR06</v>
      </c>
      <c r="D108" s="419">
        <v>17925000</v>
      </c>
      <c r="E108" s="419">
        <v>0</v>
      </c>
      <c r="F108" s="419">
        <f t="shared" si="5"/>
        <v>17925000</v>
      </c>
      <c r="G108" s="67" t="s">
        <v>332</v>
      </c>
      <c r="H108" s="67" t="s">
        <v>307</v>
      </c>
      <c r="I108" s="67" t="s">
        <v>223</v>
      </c>
      <c r="J108" s="391"/>
      <c r="K108" s="67" t="str">
        <f>'1.4.6 Active Recreation'!D23</f>
        <v>Not acquired</v>
      </c>
      <c r="L108" s="426"/>
      <c r="M108" s="391"/>
      <c r="N108" s="67" t="s">
        <v>627</v>
      </c>
      <c r="O108" s="244"/>
      <c r="P108" s="67" t="s">
        <v>668</v>
      </c>
      <c r="Q108" s="67" t="s">
        <v>962</v>
      </c>
      <c r="R108" s="391"/>
      <c r="S108" s="244"/>
      <c r="T108" s="244"/>
    </row>
    <row r="109" spans="1:32" s="68" customFormat="1" ht="36" x14ac:dyDescent="0.2">
      <c r="A109" s="67" t="s">
        <v>364</v>
      </c>
      <c r="B109" s="67" t="s">
        <v>226</v>
      </c>
      <c r="C109" s="326" t="str">
        <f>'1.4.6 Active Recreation'!B24</f>
        <v>Strathtulloh Sports Reserve
Purchase of 8.62 hectares of land for active open space for AR07 and AR08</v>
      </c>
      <c r="D109" s="419">
        <v>19825000</v>
      </c>
      <c r="E109" s="419">
        <v>0</v>
      </c>
      <c r="F109" s="419">
        <f t="shared" si="5"/>
        <v>19825000</v>
      </c>
      <c r="G109" s="67" t="s">
        <v>332</v>
      </c>
      <c r="H109" s="67" t="s">
        <v>307</v>
      </c>
      <c r="I109" s="67" t="s">
        <v>223</v>
      </c>
      <c r="J109" s="391"/>
      <c r="K109" s="67" t="str">
        <f>'1.4.6 Active Recreation'!D24</f>
        <v>Not acquired</v>
      </c>
      <c r="L109" s="426"/>
      <c r="M109" s="391"/>
      <c r="N109" s="67" t="s">
        <v>627</v>
      </c>
      <c r="O109" s="244"/>
      <c r="P109" s="67" t="s">
        <v>668</v>
      </c>
      <c r="Q109" s="67" t="s">
        <v>962</v>
      </c>
      <c r="R109" s="391"/>
      <c r="S109" s="244"/>
      <c r="T109" s="244"/>
    </row>
    <row r="110" spans="1:32" s="68" customFormat="1" ht="36" x14ac:dyDescent="0.2">
      <c r="A110" s="67" t="s">
        <v>365</v>
      </c>
      <c r="B110" s="67" t="s">
        <v>226</v>
      </c>
      <c r="C110" s="326" t="str">
        <f>'1.4.6 Active Recreation'!B25</f>
        <v>Thornhill Park Sports Reserve
Purchase of 8.69 hectares of land for active open space for AR09 and AR10</v>
      </c>
      <c r="D110" s="419">
        <v>19975000</v>
      </c>
      <c r="E110" s="419">
        <v>0</v>
      </c>
      <c r="F110" s="419">
        <f t="shared" si="5"/>
        <v>19975000</v>
      </c>
      <c r="G110" s="67" t="s">
        <v>332</v>
      </c>
      <c r="H110" s="67" t="s">
        <v>307</v>
      </c>
      <c r="I110" s="67" t="s">
        <v>223</v>
      </c>
      <c r="J110" s="391"/>
      <c r="K110" s="67" t="str">
        <f>'1.4.6 Active Recreation'!D25</f>
        <v>Not acquired</v>
      </c>
      <c r="L110" s="426"/>
      <c r="M110" s="391"/>
      <c r="N110" s="67" t="s">
        <v>627</v>
      </c>
      <c r="O110" s="244"/>
      <c r="P110" s="67" t="s">
        <v>668</v>
      </c>
      <c r="Q110" s="67" t="s">
        <v>962</v>
      </c>
      <c r="R110" s="391"/>
      <c r="S110" s="244"/>
      <c r="T110" s="244"/>
    </row>
    <row r="111" spans="1:32" s="68" customFormat="1" ht="36" x14ac:dyDescent="0.2">
      <c r="A111" s="67" t="s">
        <v>366</v>
      </c>
      <c r="B111" s="67" t="s">
        <v>226</v>
      </c>
      <c r="C111" s="326" t="str">
        <f>'1.4.6 Active Recreation'!B26</f>
        <v>Cobblebank East Sports Reserve
Purchase of 4.56 hectares of land for active open space for AR11 and AR12</v>
      </c>
      <c r="D111" s="419">
        <v>12300000</v>
      </c>
      <c r="E111" s="419">
        <v>0</v>
      </c>
      <c r="F111" s="419">
        <f t="shared" si="5"/>
        <v>12300000</v>
      </c>
      <c r="G111" s="67" t="s">
        <v>332</v>
      </c>
      <c r="H111" s="67" t="s">
        <v>307</v>
      </c>
      <c r="I111" s="67" t="s">
        <v>223</v>
      </c>
      <c r="J111" s="391"/>
      <c r="K111" s="67" t="str">
        <f>'1.4.6 Active Recreation'!D26</f>
        <v>Not acquired</v>
      </c>
      <c r="L111" s="426"/>
      <c r="M111" s="391"/>
      <c r="N111" s="67" t="s">
        <v>627</v>
      </c>
      <c r="O111" s="244"/>
      <c r="P111" s="67" t="s">
        <v>668</v>
      </c>
      <c r="Q111" s="67" t="s">
        <v>962</v>
      </c>
      <c r="R111" s="391"/>
      <c r="S111" s="244"/>
      <c r="T111" s="244"/>
    </row>
    <row r="112" spans="1:32" s="68" customFormat="1" ht="36" x14ac:dyDescent="0.2">
      <c r="A112" s="67" t="s">
        <v>367</v>
      </c>
      <c r="B112" s="67" t="s">
        <v>226</v>
      </c>
      <c r="C112" s="326" t="str">
        <f>'1.4.6 Active Recreation'!B27</f>
        <v>Cobblebank Central Sports Reserve
Purchase of 8.19 hectares of land for active open space for AR13 and AR14. Area 2 Contributions (60%)</v>
      </c>
      <c r="D112" s="419">
        <f>18825000*60%</f>
        <v>11295000</v>
      </c>
      <c r="E112" s="419">
        <v>0</v>
      </c>
      <c r="F112" s="419">
        <f t="shared" si="5"/>
        <v>11295000</v>
      </c>
      <c r="G112" s="67" t="s">
        <v>317</v>
      </c>
      <c r="H112" s="67" t="s">
        <v>307</v>
      </c>
      <c r="I112" s="67" t="s">
        <v>223</v>
      </c>
      <c r="J112" s="391"/>
      <c r="K112" s="67" t="str">
        <f>'1.4.6 Active Recreation'!D27</f>
        <v>Not acquired</v>
      </c>
      <c r="L112" s="426"/>
      <c r="M112" s="391"/>
      <c r="N112" s="67" t="s">
        <v>627</v>
      </c>
      <c r="O112" s="244"/>
      <c r="P112" s="67" t="s">
        <v>668</v>
      </c>
      <c r="Q112" s="67" t="s">
        <v>962</v>
      </c>
      <c r="R112" s="391"/>
      <c r="S112" s="244"/>
      <c r="T112" s="244"/>
    </row>
    <row r="113" spans="1:32" s="68" customFormat="1" ht="36" x14ac:dyDescent="0.2">
      <c r="A113" s="67" t="s">
        <v>368</v>
      </c>
      <c r="B113" s="67" t="s">
        <v>226</v>
      </c>
      <c r="C113" s="326" t="str">
        <f>'1.4.6 Active Recreation'!B28</f>
        <v>Cobblebank Central Sports Reserve
Purchase of 8.19 hectares of land for active open space for AR13 and AR14. Area 3 Contributions (40%)</v>
      </c>
      <c r="D113" s="419">
        <f>18825000*40%</f>
        <v>7530000</v>
      </c>
      <c r="E113" s="419">
        <v>0</v>
      </c>
      <c r="F113" s="419">
        <f t="shared" si="5"/>
        <v>7530000</v>
      </c>
      <c r="G113" s="67" t="s">
        <v>325</v>
      </c>
      <c r="H113" s="67" t="s">
        <v>307</v>
      </c>
      <c r="I113" s="67" t="s">
        <v>223</v>
      </c>
      <c r="J113" s="391"/>
      <c r="K113" s="67" t="str">
        <f>'1.4.6 Active Recreation'!D28</f>
        <v>Not acquired</v>
      </c>
      <c r="L113" s="426"/>
      <c r="M113" s="391"/>
      <c r="N113" s="67" t="s">
        <v>627</v>
      </c>
      <c r="O113" s="244"/>
      <c r="P113" s="67" t="s">
        <v>668</v>
      </c>
      <c r="Q113" s="67" t="s">
        <v>962</v>
      </c>
      <c r="R113" s="391"/>
      <c r="S113" s="244"/>
      <c r="T113" s="244"/>
    </row>
    <row r="114" spans="1:32" s="68" customFormat="1" ht="36" x14ac:dyDescent="0.2">
      <c r="A114" s="67" t="s">
        <v>369</v>
      </c>
      <c r="B114" s="67" t="s">
        <v>226</v>
      </c>
      <c r="C114" s="326" t="str">
        <f>'1.4.6 Active Recreation'!B29</f>
        <v>Cobblebank MAC Open Space
Purchase of 1.0 hectare for Metropolitan Activity Centre Public Open Space</v>
      </c>
      <c r="D114" s="419">
        <v>2700000</v>
      </c>
      <c r="E114" s="419">
        <v>0</v>
      </c>
      <c r="F114" s="419">
        <f t="shared" si="5"/>
        <v>2700000</v>
      </c>
      <c r="G114" s="67" t="s">
        <v>227</v>
      </c>
      <c r="H114" s="67" t="s">
        <v>307</v>
      </c>
      <c r="I114" s="67" t="s">
        <v>223</v>
      </c>
      <c r="J114" s="391"/>
      <c r="K114" s="67" t="str">
        <f>'1.4.6 Active Recreation'!D29</f>
        <v>Not acquired</v>
      </c>
      <c r="L114" s="426"/>
      <c r="M114" s="391"/>
      <c r="N114" s="67" t="s">
        <v>627</v>
      </c>
      <c r="O114" s="244"/>
      <c r="P114" s="67" t="s">
        <v>668</v>
      </c>
      <c r="Q114" s="67" t="s">
        <v>962</v>
      </c>
      <c r="R114" s="391"/>
      <c r="S114" s="244"/>
      <c r="T114" s="244"/>
    </row>
    <row r="115" spans="1:32" s="64" customFormat="1" x14ac:dyDescent="0.2">
      <c r="A115" s="393" t="s">
        <v>14</v>
      </c>
      <c r="B115" s="394"/>
      <c r="C115" s="394"/>
      <c r="D115" s="386">
        <f>SUM(D106:D114)</f>
        <v>120800000</v>
      </c>
      <c r="E115" s="386">
        <f>SUM(E106:E114)</f>
        <v>0</v>
      </c>
      <c r="F115" s="386">
        <f>SUM(F106:F114)</f>
        <v>120800000</v>
      </c>
      <c r="G115" s="65"/>
      <c r="H115" s="65"/>
      <c r="I115" s="65"/>
      <c r="J115" s="391"/>
      <c r="K115" s="65"/>
      <c r="L115" s="394"/>
      <c r="M115" s="383"/>
      <c r="N115" s="65"/>
      <c r="O115" s="65"/>
      <c r="P115" s="65"/>
      <c r="Q115" s="65"/>
      <c r="R115" s="391"/>
      <c r="S115" s="65"/>
      <c r="T115" s="65"/>
    </row>
    <row r="116" spans="1:32" s="62" customFormat="1" x14ac:dyDescent="0.2">
      <c r="A116" s="418" t="s">
        <v>305</v>
      </c>
      <c r="B116" s="58"/>
      <c r="C116" s="58"/>
      <c r="D116" s="304"/>
      <c r="E116" s="304"/>
      <c r="F116" s="304"/>
      <c r="G116" s="58"/>
      <c r="H116" s="58"/>
      <c r="I116" s="58"/>
      <c r="J116" s="81"/>
      <c r="K116" s="58"/>
      <c r="L116" s="58"/>
      <c r="M116" s="192"/>
      <c r="N116" s="82"/>
      <c r="O116" s="58"/>
      <c r="P116" s="58"/>
      <c r="Q116" s="58"/>
      <c r="R116" s="477"/>
      <c r="S116" s="58"/>
      <c r="T116" s="58"/>
      <c r="U116" s="59"/>
      <c r="V116" s="58"/>
      <c r="W116" s="58"/>
      <c r="X116" s="58"/>
      <c r="Y116" s="58"/>
      <c r="Z116" s="60"/>
      <c r="AA116" s="60"/>
      <c r="AB116" s="60"/>
      <c r="AC116" s="60"/>
      <c r="AD116" s="60"/>
      <c r="AE116" s="60"/>
      <c r="AF116" s="61"/>
    </row>
    <row r="117" spans="1:32" s="66" customFormat="1" ht="36" x14ac:dyDescent="0.2">
      <c r="A117" s="67" t="s">
        <v>306</v>
      </c>
      <c r="B117" s="67" t="s">
        <v>226</v>
      </c>
      <c r="C117" s="326" t="str">
        <f>'1.4.5 Community Facilities'!B2</f>
        <v>Cobblebank Higher Order Civic Facility
Higher Order Civic Facility, including a Level 3 Community Centre, located within the Metropolitan Activity Centre.</v>
      </c>
      <c r="D117" s="419">
        <v>0</v>
      </c>
      <c r="E117" s="419">
        <v>0</v>
      </c>
      <c r="F117" s="419">
        <f>D117+E117</f>
        <v>0</v>
      </c>
      <c r="G117" s="67" t="s">
        <v>524</v>
      </c>
      <c r="H117" s="67" t="s">
        <v>307</v>
      </c>
      <c r="I117" s="67" t="s">
        <v>967</v>
      </c>
      <c r="J117" s="382"/>
      <c r="K117" s="67" t="str">
        <f>'1.4.5 Community Facilities'!D2</f>
        <v>Not commenced</v>
      </c>
      <c r="L117" s="67" t="s">
        <v>523</v>
      </c>
      <c r="M117" s="382"/>
      <c r="N117" s="67" t="s">
        <v>627</v>
      </c>
      <c r="O117" s="67"/>
      <c r="P117" s="67" t="s">
        <v>668</v>
      </c>
      <c r="Q117" s="67"/>
      <c r="R117" s="382"/>
      <c r="S117" s="245">
        <v>9800000</v>
      </c>
      <c r="T117" s="67"/>
    </row>
    <row r="118" spans="1:32" s="66" customFormat="1" ht="36" x14ac:dyDescent="0.2">
      <c r="A118" s="67" t="s">
        <v>308</v>
      </c>
      <c r="B118" s="67" t="s">
        <v>226</v>
      </c>
      <c r="C118" s="326" t="str">
        <f>'1.4.5 Community Facilities'!B3</f>
        <v>Cobblebank Indoor Recreation Centre
Indoor Recreation Centre located within the Metropolitan Activity Centre.</v>
      </c>
      <c r="D118" s="419">
        <v>0</v>
      </c>
      <c r="E118" s="419">
        <v>0</v>
      </c>
      <c r="F118" s="419">
        <f t="shared" ref="F118:F138" si="6">D118+E118</f>
        <v>0</v>
      </c>
      <c r="G118" s="67" t="s">
        <v>524</v>
      </c>
      <c r="H118" s="67" t="s">
        <v>307</v>
      </c>
      <c r="I118" s="67" t="s">
        <v>229</v>
      </c>
      <c r="J118" s="382"/>
      <c r="K118" s="67" t="str">
        <f>'1.4.5 Community Facilities'!D3</f>
        <v>Constructed</v>
      </c>
      <c r="L118" s="67" t="s">
        <v>523</v>
      </c>
      <c r="M118" s="382"/>
      <c r="N118" s="67" t="s">
        <v>627</v>
      </c>
      <c r="O118" s="67"/>
      <c r="P118" s="67" t="s">
        <v>668</v>
      </c>
      <c r="Q118" s="67"/>
      <c r="R118" s="382"/>
      <c r="S118" s="245">
        <v>6500000</v>
      </c>
      <c r="T118" s="67"/>
    </row>
    <row r="119" spans="1:32" s="66" customFormat="1" ht="36" x14ac:dyDescent="0.2">
      <c r="A119" s="67" t="s">
        <v>499</v>
      </c>
      <c r="B119" s="67" t="s">
        <v>226</v>
      </c>
      <c r="C119" s="326" t="str">
        <f>'1.4.5 Community Facilities'!B4</f>
        <v>Weir Views North Community Centre
Purchase of land and construction of a multi-purpose community centre (Level 1) in Community Hub 1 - early childhood rooms component - including kindergarten and maternal health.</v>
      </c>
      <c r="D119" s="419">
        <v>2650000</v>
      </c>
      <c r="E119" s="419">
        <v>8012730</v>
      </c>
      <c r="F119" s="419">
        <f t="shared" si="6"/>
        <v>10662730</v>
      </c>
      <c r="G119" s="67" t="s">
        <v>310</v>
      </c>
      <c r="H119" s="67" t="s">
        <v>311</v>
      </c>
      <c r="I119" s="67" t="s">
        <v>229</v>
      </c>
      <c r="J119" s="382"/>
      <c r="K119" s="67" t="str">
        <f>'1.4.5 Community Facilities'!D4</f>
        <v>S173 Agreement to purchase land</v>
      </c>
      <c r="L119" s="67" t="s">
        <v>502</v>
      </c>
      <c r="M119" s="382"/>
      <c r="N119" s="67" t="s">
        <v>627</v>
      </c>
      <c r="O119" s="67"/>
      <c r="P119" s="63" t="s">
        <v>993</v>
      </c>
      <c r="Q119" s="67" t="s">
        <v>962</v>
      </c>
      <c r="R119" s="382"/>
      <c r="S119" s="67"/>
      <c r="T119" s="67"/>
    </row>
    <row r="120" spans="1:32" s="66" customFormat="1" ht="36" x14ac:dyDescent="0.2">
      <c r="A120" s="67" t="s">
        <v>500</v>
      </c>
      <c r="B120" s="67" t="s">
        <v>226</v>
      </c>
      <c r="C120" s="326" t="str">
        <f>'1.4.5 Community Facilities'!B5</f>
        <v>Weir Views North Community Centre
Construction of a multi-purpose community centre (Level 1) in Community Hub 1 - community rooms component.</v>
      </c>
      <c r="D120" s="419">
        <v>0</v>
      </c>
      <c r="E120" s="419">
        <v>723419</v>
      </c>
      <c r="F120" s="419">
        <f t="shared" si="6"/>
        <v>723419</v>
      </c>
      <c r="G120" s="67" t="s">
        <v>310</v>
      </c>
      <c r="H120" s="67" t="s">
        <v>311</v>
      </c>
      <c r="I120" s="67" t="s">
        <v>229</v>
      </c>
      <c r="J120" s="382"/>
      <c r="K120" s="67" t="str">
        <f>'1.4.5 Community Facilities'!D5</f>
        <v>Not commenced</v>
      </c>
      <c r="L120" s="67" t="s">
        <v>502</v>
      </c>
      <c r="M120" s="382"/>
      <c r="N120" s="67" t="s">
        <v>627</v>
      </c>
      <c r="O120" s="67"/>
      <c r="P120" s="63" t="s">
        <v>993</v>
      </c>
      <c r="Q120" s="67"/>
      <c r="R120" s="382"/>
      <c r="S120" s="67"/>
      <c r="T120" s="67"/>
    </row>
    <row r="121" spans="1:32" s="66" customFormat="1" ht="24" x14ac:dyDescent="0.2">
      <c r="A121" s="67" t="s">
        <v>518</v>
      </c>
      <c r="B121" s="67" t="s">
        <v>313</v>
      </c>
      <c r="C121" s="326" t="str">
        <f>'1.4.5 Community Facilities'!B6</f>
        <v>Deleted</v>
      </c>
      <c r="D121" s="419">
        <v>0</v>
      </c>
      <c r="E121" s="419">
        <v>0</v>
      </c>
      <c r="F121" s="419">
        <f t="shared" si="6"/>
        <v>0</v>
      </c>
      <c r="G121" s="67"/>
      <c r="H121" s="67"/>
      <c r="I121" s="67" t="s">
        <v>229</v>
      </c>
      <c r="J121" s="382"/>
      <c r="K121" s="67" t="str">
        <f>'1.4.5 Community Facilities'!D6</f>
        <v>Project deleted as Council does not include childcare rooms in early childhood centres</v>
      </c>
      <c r="L121" s="67"/>
      <c r="M121" s="382"/>
      <c r="N121" s="67"/>
      <c r="O121" s="67" t="str">
        <f>'1.4.5 Community Facilities'!E6</f>
        <v>Project deleted as Council does not include childcare rooms in early childhood centres</v>
      </c>
      <c r="P121" s="67"/>
      <c r="Q121" s="67"/>
      <c r="R121" s="382"/>
      <c r="S121" s="67"/>
      <c r="T121" s="67"/>
    </row>
    <row r="122" spans="1:32" s="66" customFormat="1" ht="36" x14ac:dyDescent="0.2">
      <c r="A122" s="67" t="s">
        <v>501</v>
      </c>
      <c r="B122" s="67" t="s">
        <v>226</v>
      </c>
      <c r="C122" s="326" t="str">
        <f>'1.4.5 Community Facilities'!B7</f>
        <v>Weir Views South Community Centre
Purchase of land and construction of a multi-purpose community centre (Level 2) in Community Hub 2 - early childhood rooms component - including kindergarten and maternal health.</v>
      </c>
      <c r="D122" s="419">
        <v>3100000</v>
      </c>
      <c r="E122" s="419">
        <v>8993525</v>
      </c>
      <c r="F122" s="419">
        <f t="shared" si="6"/>
        <v>12093525</v>
      </c>
      <c r="G122" s="67" t="s">
        <v>310</v>
      </c>
      <c r="H122" s="67" t="s">
        <v>311</v>
      </c>
      <c r="I122" s="67" t="s">
        <v>229</v>
      </c>
      <c r="J122" s="382"/>
      <c r="K122" s="67" t="str">
        <f>'1.4.5 Community Facilities'!D7</f>
        <v>Not commenced</v>
      </c>
      <c r="L122" s="67" t="s">
        <v>502</v>
      </c>
      <c r="M122" s="382"/>
      <c r="N122" s="67" t="s">
        <v>627</v>
      </c>
      <c r="O122" s="67"/>
      <c r="P122" s="63" t="s">
        <v>993</v>
      </c>
      <c r="Q122" s="67" t="s">
        <v>962</v>
      </c>
      <c r="R122" s="382"/>
      <c r="S122" s="67"/>
      <c r="T122" s="67"/>
    </row>
    <row r="123" spans="1:32" s="66" customFormat="1" ht="36" x14ac:dyDescent="0.2">
      <c r="A123" s="67" t="s">
        <v>315</v>
      </c>
      <c r="B123" s="67" t="s">
        <v>226</v>
      </c>
      <c r="C123" s="326" t="str">
        <f>'1.4.5 Community Facilities'!B8</f>
        <v>Weir Views South Community Centre
Construction of a multi-purpose community centre (Level 2) in Community Hub 2 - community rooms component.</v>
      </c>
      <c r="D123" s="419">
        <v>0</v>
      </c>
      <c r="E123" s="419">
        <v>1389726</v>
      </c>
      <c r="F123" s="419">
        <f t="shared" si="6"/>
        <v>1389726</v>
      </c>
      <c r="G123" s="67" t="s">
        <v>310</v>
      </c>
      <c r="H123" s="67" t="s">
        <v>311</v>
      </c>
      <c r="I123" s="67" t="s">
        <v>229</v>
      </c>
      <c r="J123" s="382"/>
      <c r="K123" s="67" t="str">
        <f>'1.4.5 Community Facilities'!D8</f>
        <v>Not commenced</v>
      </c>
      <c r="L123" s="67" t="s">
        <v>502</v>
      </c>
      <c r="M123" s="382"/>
      <c r="N123" s="67" t="s">
        <v>627</v>
      </c>
      <c r="O123" s="67"/>
      <c r="P123" s="63" t="s">
        <v>993</v>
      </c>
      <c r="Q123" s="67"/>
      <c r="R123" s="382"/>
      <c r="S123" s="67"/>
      <c r="T123" s="67"/>
    </row>
    <row r="124" spans="1:32" s="66" customFormat="1" ht="24" x14ac:dyDescent="0.2">
      <c r="A124" s="67" t="s">
        <v>519</v>
      </c>
      <c r="B124" s="67" t="s">
        <v>313</v>
      </c>
      <c r="C124" s="326" t="str">
        <f>'1.4.5 Community Facilities'!B9</f>
        <v>Deleted</v>
      </c>
      <c r="D124" s="419">
        <v>0</v>
      </c>
      <c r="E124" s="419">
        <v>0</v>
      </c>
      <c r="F124" s="419">
        <f t="shared" si="6"/>
        <v>0</v>
      </c>
      <c r="G124" s="67"/>
      <c r="H124" s="67"/>
      <c r="I124" s="67" t="s">
        <v>229</v>
      </c>
      <c r="J124" s="382"/>
      <c r="K124" s="67" t="str">
        <f>'1.4.5 Community Facilities'!D9</f>
        <v>Project deleted as Council does not include childcare rooms in early childhood centres</v>
      </c>
      <c r="L124" s="67"/>
      <c r="M124" s="382"/>
      <c r="N124" s="67"/>
      <c r="O124" s="67" t="str">
        <f>'1.4.5 Community Facilities'!E9</f>
        <v>Project deleted as Council does not include childcare rooms in early childhood centres</v>
      </c>
      <c r="P124" s="67"/>
      <c r="Q124" s="67"/>
      <c r="R124" s="382"/>
      <c r="S124" s="67"/>
      <c r="T124" s="67"/>
    </row>
    <row r="125" spans="1:32" s="66" customFormat="1" ht="36" x14ac:dyDescent="0.2">
      <c r="A125" s="67" t="s">
        <v>316</v>
      </c>
      <c r="B125" s="67" t="s">
        <v>226</v>
      </c>
      <c r="C125" s="326" t="str">
        <f>'1.4.5 Community Facilities'!B10</f>
        <v>Strathtulloh Community Centre
Purchase of land and construction of a multi-purpose community centre (Level 1) in Community Hub 3 - early childhood rooms component - including kindergarten and maternal health.</v>
      </c>
      <c r="D125" s="419">
        <v>2800000</v>
      </c>
      <c r="E125" s="419">
        <f>E119</f>
        <v>8012730</v>
      </c>
      <c r="F125" s="419">
        <f t="shared" si="6"/>
        <v>10812730</v>
      </c>
      <c r="G125" s="67" t="s">
        <v>317</v>
      </c>
      <c r="H125" s="67" t="s">
        <v>311</v>
      </c>
      <c r="I125" s="67" t="s">
        <v>229</v>
      </c>
      <c r="J125" s="382"/>
      <c r="K125" s="67" t="str">
        <f>'1.4.5 Community Facilities'!D10</f>
        <v>Not commenced</v>
      </c>
      <c r="L125" s="67" t="s">
        <v>502</v>
      </c>
      <c r="M125" s="382"/>
      <c r="N125" s="67" t="s">
        <v>627</v>
      </c>
      <c r="O125" s="67"/>
      <c r="P125" s="63" t="s">
        <v>993</v>
      </c>
      <c r="Q125" s="67" t="s">
        <v>962</v>
      </c>
      <c r="R125" s="382"/>
      <c r="S125" s="67"/>
      <c r="T125" s="67"/>
    </row>
    <row r="126" spans="1:32" s="66" customFormat="1" ht="36" x14ac:dyDescent="0.2">
      <c r="A126" s="67" t="s">
        <v>318</v>
      </c>
      <c r="B126" s="67" t="s">
        <v>226</v>
      </c>
      <c r="C126" s="326" t="str">
        <f>'1.4.5 Community Facilities'!B11</f>
        <v>Strathtulloh Community Centre
Construction of a multi-purpose community centre (Level 1) in Community Hub 3 - community rooms component.</v>
      </c>
      <c r="D126" s="419">
        <v>0</v>
      </c>
      <c r="E126" s="419">
        <f>E120</f>
        <v>723419</v>
      </c>
      <c r="F126" s="419">
        <f t="shared" si="6"/>
        <v>723419</v>
      </c>
      <c r="G126" s="67" t="s">
        <v>317</v>
      </c>
      <c r="H126" s="67" t="s">
        <v>311</v>
      </c>
      <c r="I126" s="67" t="s">
        <v>229</v>
      </c>
      <c r="J126" s="382"/>
      <c r="K126" s="67" t="str">
        <f>'1.4.5 Community Facilities'!D11</f>
        <v>Not commenced</v>
      </c>
      <c r="L126" s="67" t="s">
        <v>502</v>
      </c>
      <c r="M126" s="382"/>
      <c r="N126" s="67" t="s">
        <v>627</v>
      </c>
      <c r="O126" s="67"/>
      <c r="P126" s="63" t="s">
        <v>993</v>
      </c>
      <c r="Q126" s="67"/>
      <c r="R126" s="382"/>
      <c r="S126" s="67"/>
      <c r="T126" s="67"/>
    </row>
    <row r="127" spans="1:32" s="66" customFormat="1" ht="24" x14ac:dyDescent="0.2">
      <c r="A127" s="67" t="s">
        <v>520</v>
      </c>
      <c r="B127" s="67" t="s">
        <v>313</v>
      </c>
      <c r="C127" s="326" t="str">
        <f>'1.4.5 Community Facilities'!B12</f>
        <v>Deleted</v>
      </c>
      <c r="D127" s="419">
        <v>0</v>
      </c>
      <c r="E127" s="419">
        <v>0</v>
      </c>
      <c r="F127" s="419">
        <f t="shared" si="6"/>
        <v>0</v>
      </c>
      <c r="G127" s="67"/>
      <c r="H127" s="67"/>
      <c r="I127" s="67" t="s">
        <v>229</v>
      </c>
      <c r="J127" s="382"/>
      <c r="K127" s="67" t="str">
        <f>'1.4.5 Community Facilities'!D12</f>
        <v>Project deleted as Council does not include childcare rooms in early childhood centres</v>
      </c>
      <c r="L127" s="67"/>
      <c r="M127" s="382"/>
      <c r="N127" s="67"/>
      <c r="O127" s="67" t="str">
        <f>'1.4.5 Community Facilities'!E12</f>
        <v>Project deleted as Council does not include childcare rooms in early childhood centres</v>
      </c>
      <c r="P127" s="67"/>
      <c r="Q127" s="67"/>
      <c r="R127" s="382"/>
      <c r="S127" s="67"/>
      <c r="T127" s="67"/>
    </row>
    <row r="128" spans="1:32" s="66" customFormat="1" ht="36" x14ac:dyDescent="0.2">
      <c r="A128" s="67" t="s">
        <v>319</v>
      </c>
      <c r="B128" s="67" t="s">
        <v>226</v>
      </c>
      <c r="C128" s="326" t="str">
        <f>'1.4.5 Community Facilities'!B13</f>
        <v>Thornhill Park Community Centre
Purchase of land and construction of a multi-purpose community centre (Level 1) in Community Hub 4 - early childhood rooms component - including kindergarten and maternal health.</v>
      </c>
      <c r="D128" s="419">
        <v>2800000</v>
      </c>
      <c r="E128" s="419">
        <f>E119</f>
        <v>8012730</v>
      </c>
      <c r="F128" s="419">
        <f t="shared" si="6"/>
        <v>10812730</v>
      </c>
      <c r="G128" s="67" t="s">
        <v>317</v>
      </c>
      <c r="H128" s="67" t="s">
        <v>311</v>
      </c>
      <c r="I128" s="67" t="s">
        <v>229</v>
      </c>
      <c r="J128" s="382"/>
      <c r="K128" s="67" t="str">
        <f>'1.4.5 Community Facilities'!D13</f>
        <v>Not commenced</v>
      </c>
      <c r="L128" s="67" t="s">
        <v>502</v>
      </c>
      <c r="M128" s="382"/>
      <c r="N128" s="67" t="s">
        <v>627</v>
      </c>
      <c r="O128" s="67"/>
      <c r="P128" s="63" t="s">
        <v>993</v>
      </c>
      <c r="Q128" s="67" t="s">
        <v>962</v>
      </c>
      <c r="R128" s="382"/>
      <c r="S128" s="67"/>
      <c r="T128" s="67"/>
    </row>
    <row r="129" spans="1:32" s="66" customFormat="1" ht="36" x14ac:dyDescent="0.2">
      <c r="A129" s="67" t="s">
        <v>320</v>
      </c>
      <c r="B129" s="67" t="s">
        <v>226</v>
      </c>
      <c r="C129" s="326" t="str">
        <f>'1.4.5 Community Facilities'!B14</f>
        <v>Thornhill Park Community Centre
Construction of a multi-purpose community centre (Level 1) in Community Hub 4 - community rooms component.</v>
      </c>
      <c r="D129" s="419">
        <v>0</v>
      </c>
      <c r="E129" s="419">
        <f>E120</f>
        <v>723419</v>
      </c>
      <c r="F129" s="419">
        <f t="shared" si="6"/>
        <v>723419</v>
      </c>
      <c r="G129" s="67" t="s">
        <v>317</v>
      </c>
      <c r="H129" s="67" t="s">
        <v>311</v>
      </c>
      <c r="I129" s="67" t="s">
        <v>229</v>
      </c>
      <c r="J129" s="382"/>
      <c r="K129" s="67" t="str">
        <f>'1.4.5 Community Facilities'!D14</f>
        <v>Not commenced</v>
      </c>
      <c r="L129" s="67" t="s">
        <v>502</v>
      </c>
      <c r="M129" s="382"/>
      <c r="N129" s="67" t="s">
        <v>627</v>
      </c>
      <c r="O129" s="67"/>
      <c r="P129" s="63" t="s">
        <v>993</v>
      </c>
      <c r="Q129" s="67"/>
      <c r="R129" s="382"/>
      <c r="S129" s="67"/>
      <c r="T129" s="67"/>
    </row>
    <row r="130" spans="1:32" s="66" customFormat="1" ht="24" x14ac:dyDescent="0.2">
      <c r="A130" s="67" t="s">
        <v>521</v>
      </c>
      <c r="B130" s="67" t="s">
        <v>313</v>
      </c>
      <c r="C130" s="326" t="str">
        <f>'1.4.5 Community Facilities'!B15</f>
        <v>Deleted</v>
      </c>
      <c r="D130" s="419">
        <v>0</v>
      </c>
      <c r="E130" s="419">
        <v>0</v>
      </c>
      <c r="F130" s="419">
        <f t="shared" si="6"/>
        <v>0</v>
      </c>
      <c r="G130" s="67"/>
      <c r="H130" s="67"/>
      <c r="I130" s="67" t="s">
        <v>229</v>
      </c>
      <c r="J130" s="382"/>
      <c r="K130" s="67" t="str">
        <f>'1.4.5 Community Facilities'!D15</f>
        <v>Project deleted as Council does not include childcare rooms in early childhood centres</v>
      </c>
      <c r="L130" s="67"/>
      <c r="M130" s="382"/>
      <c r="N130" s="67"/>
      <c r="O130" s="67" t="str">
        <f>'1.4.5 Community Facilities'!E15</f>
        <v>Project deleted as Council does not include childcare rooms in early childhood centres</v>
      </c>
      <c r="P130" s="67"/>
      <c r="Q130" s="67"/>
      <c r="R130" s="382"/>
      <c r="S130" s="67"/>
      <c r="T130" s="67"/>
    </row>
    <row r="131" spans="1:32" s="66" customFormat="1" ht="36" x14ac:dyDescent="0.2">
      <c r="A131" s="67" t="s">
        <v>321</v>
      </c>
      <c r="B131" s="67" t="s">
        <v>226</v>
      </c>
      <c r="C131" s="326" t="str">
        <f>'1.4.5 Community Facilities'!B16</f>
        <v>Cobblebank East Community Centre
Purchase of land and construction of a multi-purpose community centre (Level 2) in Community Hub 5 - early childhood rooms component - including kindergarten and maternal health.</v>
      </c>
      <c r="D131" s="419">
        <v>3300000</v>
      </c>
      <c r="E131" s="419">
        <f>E122</f>
        <v>8993525</v>
      </c>
      <c r="F131" s="419">
        <f t="shared" si="6"/>
        <v>12293525</v>
      </c>
      <c r="G131" s="67" t="s">
        <v>317</v>
      </c>
      <c r="H131" s="67" t="s">
        <v>311</v>
      </c>
      <c r="I131" s="67" t="s">
        <v>229</v>
      </c>
      <c r="J131" s="382"/>
      <c r="K131" s="67" t="str">
        <f>'1.4.5 Community Facilities'!D16</f>
        <v>Not commenced</v>
      </c>
      <c r="L131" s="67" t="s">
        <v>502</v>
      </c>
      <c r="M131" s="382"/>
      <c r="N131" s="67" t="s">
        <v>627</v>
      </c>
      <c r="O131" s="67"/>
      <c r="P131" s="63" t="s">
        <v>993</v>
      </c>
      <c r="Q131" s="67" t="s">
        <v>962</v>
      </c>
      <c r="R131" s="382"/>
      <c r="S131" s="67"/>
      <c r="T131" s="67"/>
    </row>
    <row r="132" spans="1:32" s="66" customFormat="1" ht="36" x14ac:dyDescent="0.2">
      <c r="A132" s="67" t="s">
        <v>322</v>
      </c>
      <c r="B132" s="67" t="s">
        <v>226</v>
      </c>
      <c r="C132" s="326" t="str">
        <f>'1.4.5 Community Facilities'!B17</f>
        <v>Cobblebank East Community Centre
Construction of a multi-purpose community centre (Level 2) in Community Hub 5 - community rooms component.</v>
      </c>
      <c r="D132" s="419">
        <v>0</v>
      </c>
      <c r="E132" s="419">
        <f>E123</f>
        <v>1389726</v>
      </c>
      <c r="F132" s="419">
        <f t="shared" si="6"/>
        <v>1389726</v>
      </c>
      <c r="G132" s="67" t="s">
        <v>317</v>
      </c>
      <c r="H132" s="67" t="s">
        <v>311</v>
      </c>
      <c r="I132" s="67" t="s">
        <v>229</v>
      </c>
      <c r="J132" s="382"/>
      <c r="K132" s="67" t="str">
        <f>'1.4.5 Community Facilities'!D17</f>
        <v>Not commenced</v>
      </c>
      <c r="L132" s="67" t="s">
        <v>502</v>
      </c>
      <c r="M132" s="382"/>
      <c r="N132" s="67" t="s">
        <v>627</v>
      </c>
      <c r="O132" s="67"/>
      <c r="P132" s="63" t="s">
        <v>993</v>
      </c>
      <c r="Q132" s="67"/>
      <c r="R132" s="382"/>
      <c r="S132" s="67"/>
      <c r="T132" s="67"/>
    </row>
    <row r="133" spans="1:32" s="66" customFormat="1" ht="24" x14ac:dyDescent="0.2">
      <c r="A133" s="67" t="s">
        <v>522</v>
      </c>
      <c r="B133" s="67" t="s">
        <v>313</v>
      </c>
      <c r="C133" s="326" t="str">
        <f>'1.4.5 Community Facilities'!B18</f>
        <v>Deleted</v>
      </c>
      <c r="D133" s="419">
        <v>0</v>
      </c>
      <c r="E133" s="419">
        <v>0</v>
      </c>
      <c r="F133" s="419">
        <f t="shared" si="6"/>
        <v>0</v>
      </c>
      <c r="G133" s="67"/>
      <c r="H133" s="67"/>
      <c r="I133" s="67" t="s">
        <v>229</v>
      </c>
      <c r="J133" s="382"/>
      <c r="K133" s="67" t="str">
        <f>'1.4.5 Community Facilities'!D18</f>
        <v>Project deleted as Council does not include childcare rooms in early childhood centres</v>
      </c>
      <c r="L133" s="67"/>
      <c r="M133" s="382"/>
      <c r="N133" s="67"/>
      <c r="O133" s="67" t="str">
        <f>'1.4.5 Community Facilities'!E18</f>
        <v>Project deleted as Council does not include childcare rooms in early childhood centres</v>
      </c>
      <c r="P133" s="67"/>
      <c r="Q133" s="67"/>
      <c r="R133" s="382"/>
      <c r="S133" s="67"/>
      <c r="T133" s="67"/>
    </row>
    <row r="134" spans="1:32" s="66" customFormat="1" ht="48" x14ac:dyDescent="0.2">
      <c r="A134" s="67" t="s">
        <v>323</v>
      </c>
      <c r="B134" s="67" t="s">
        <v>226</v>
      </c>
      <c r="C134" s="326" t="str">
        <f>'1.4.5 Community Facilities'!B19</f>
        <v xml:space="preserve">Bridge Road Community Centre
Construction of a multi-purpose community centre (Level 2) in Community Hub 6 - early childhood components - including kindergarten and maternal health. 
Area 2 contribution (60%) </v>
      </c>
      <c r="D134" s="419">
        <v>0</v>
      </c>
      <c r="E134" s="419">
        <v>1283551.6299999999</v>
      </c>
      <c r="F134" s="419">
        <f t="shared" si="6"/>
        <v>1283551.6299999999</v>
      </c>
      <c r="G134" s="67" t="s">
        <v>317</v>
      </c>
      <c r="H134" s="67" t="s">
        <v>311</v>
      </c>
      <c r="I134" s="67" t="s">
        <v>229</v>
      </c>
      <c r="J134" s="382"/>
      <c r="K134" s="67" t="str">
        <f>'1.4.5 Community Facilities'!D19</f>
        <v>Constructed</v>
      </c>
      <c r="L134" s="321" t="s">
        <v>782</v>
      </c>
      <c r="M134" s="382"/>
      <c r="N134" s="67" t="s">
        <v>627</v>
      </c>
      <c r="O134" s="67"/>
      <c r="P134" s="67" t="s">
        <v>669</v>
      </c>
      <c r="Q134" s="67" t="s">
        <v>738</v>
      </c>
      <c r="R134" s="382"/>
      <c r="S134" s="67"/>
      <c r="T134" s="67"/>
    </row>
    <row r="135" spans="1:32" s="66" customFormat="1" ht="48" x14ac:dyDescent="0.2">
      <c r="A135" s="67" t="s">
        <v>324</v>
      </c>
      <c r="B135" s="67" t="s">
        <v>226</v>
      </c>
      <c r="C135" s="326" t="str">
        <f>'1.4.5 Community Facilities'!B20</f>
        <v>Bridge Road Community Centre
Construction of a multi-purpose community centre (Level 2) in Community Hub 6 - early childhood components - including kindergarten and maternal health. 
Area 3 contribution (40%)</v>
      </c>
      <c r="D135" s="419">
        <v>0</v>
      </c>
      <c r="E135" s="419">
        <v>638334.88</v>
      </c>
      <c r="F135" s="419">
        <f t="shared" si="6"/>
        <v>638334.88</v>
      </c>
      <c r="G135" s="67" t="s">
        <v>325</v>
      </c>
      <c r="H135" s="67" t="s">
        <v>311</v>
      </c>
      <c r="I135" s="67" t="s">
        <v>229</v>
      </c>
      <c r="J135" s="382"/>
      <c r="K135" s="67" t="str">
        <f>'1.4.5 Community Facilities'!D20</f>
        <v>Constructed</v>
      </c>
      <c r="L135" s="321" t="s">
        <v>782</v>
      </c>
      <c r="M135" s="382"/>
      <c r="N135" s="67" t="s">
        <v>627</v>
      </c>
      <c r="O135" s="67"/>
      <c r="P135" s="67" t="s">
        <v>669</v>
      </c>
      <c r="Q135" s="67" t="s">
        <v>738</v>
      </c>
      <c r="R135" s="382"/>
      <c r="S135" s="67"/>
      <c r="T135" s="67"/>
    </row>
    <row r="136" spans="1:32" s="66" customFormat="1" ht="48" x14ac:dyDescent="0.2">
      <c r="A136" s="67" t="s">
        <v>326</v>
      </c>
      <c r="B136" s="67" t="s">
        <v>226</v>
      </c>
      <c r="C136" s="326" t="str">
        <f>'1.4.5 Community Facilities'!B21</f>
        <v xml:space="preserve">Bridge Road Community Centre
Purchase of land and construction of a multi-purpose community centre (Level 2) in Community Hub 6 - childcare components. 
Area 2 contribution (60%) </v>
      </c>
      <c r="D136" s="419">
        <f>2800000*60%</f>
        <v>1680000</v>
      </c>
      <c r="E136" s="419">
        <v>1742539.08</v>
      </c>
      <c r="F136" s="419">
        <f t="shared" si="6"/>
        <v>3422539.08</v>
      </c>
      <c r="G136" s="67" t="s">
        <v>317</v>
      </c>
      <c r="H136" s="67" t="s">
        <v>311</v>
      </c>
      <c r="I136" s="67" t="s">
        <v>229</v>
      </c>
      <c r="J136" s="382"/>
      <c r="K136" s="67" t="str">
        <f>'1.4.5 Community Facilities'!D21</f>
        <v>Constructed</v>
      </c>
      <c r="L136" s="321" t="s">
        <v>782</v>
      </c>
      <c r="M136" s="382"/>
      <c r="N136" s="67" t="s">
        <v>627</v>
      </c>
      <c r="O136" s="67"/>
      <c r="P136" s="67" t="s">
        <v>669</v>
      </c>
      <c r="Q136" s="67" t="s">
        <v>962</v>
      </c>
      <c r="R136" s="382"/>
      <c r="S136" s="323">
        <v>1440000</v>
      </c>
      <c r="T136" s="67"/>
    </row>
    <row r="137" spans="1:32" s="66" customFormat="1" ht="48" x14ac:dyDescent="0.2">
      <c r="A137" s="67" t="s">
        <v>327</v>
      </c>
      <c r="B137" s="67" t="s">
        <v>226</v>
      </c>
      <c r="C137" s="326" t="str">
        <f>'1.4.5 Community Facilities'!B22</f>
        <v xml:space="preserve">Bridge Road Community Centre
Purchase of land and construction of a multi-purpose community centre (Level 2) in Community Hub 6 - childcare components. 
Area 3 contribution (40%) </v>
      </c>
      <c r="D137" s="419">
        <f>2800000*40%</f>
        <v>1120000</v>
      </c>
      <c r="E137" s="419">
        <v>1161692.27</v>
      </c>
      <c r="F137" s="419">
        <f t="shared" si="6"/>
        <v>2281692.27</v>
      </c>
      <c r="G137" s="67" t="s">
        <v>325</v>
      </c>
      <c r="H137" s="67" t="s">
        <v>311</v>
      </c>
      <c r="I137" s="67" t="s">
        <v>229</v>
      </c>
      <c r="J137" s="382"/>
      <c r="K137" s="67" t="str">
        <f>'1.4.5 Community Facilities'!D22</f>
        <v>Constructed</v>
      </c>
      <c r="L137" s="321" t="s">
        <v>782</v>
      </c>
      <c r="M137" s="382"/>
      <c r="N137" s="67" t="s">
        <v>627</v>
      </c>
      <c r="O137" s="67"/>
      <c r="P137" s="67" t="s">
        <v>669</v>
      </c>
      <c r="Q137" s="67" t="s">
        <v>962</v>
      </c>
      <c r="R137" s="382"/>
      <c r="S137" s="323">
        <v>960000</v>
      </c>
      <c r="T137" s="67"/>
    </row>
    <row r="138" spans="1:32" s="66" customFormat="1" ht="36" x14ac:dyDescent="0.2">
      <c r="A138" s="67" t="s">
        <v>328</v>
      </c>
      <c r="B138" s="67" t="s">
        <v>313</v>
      </c>
      <c r="C138" s="326" t="str">
        <f>'1.4.5 Community Facilities'!B23</f>
        <v>Bridge Road Community Centre
Construction of a multi-purpose community centre (Level 2) in Community Hub 6 - community rooms component</v>
      </c>
      <c r="D138" s="419">
        <v>0</v>
      </c>
      <c r="E138" s="419">
        <v>1936153.79</v>
      </c>
      <c r="F138" s="419">
        <f t="shared" si="6"/>
        <v>1936153.79</v>
      </c>
      <c r="G138" s="67" t="s">
        <v>329</v>
      </c>
      <c r="H138" s="67" t="s">
        <v>311</v>
      </c>
      <c r="I138" s="67" t="s">
        <v>229</v>
      </c>
      <c r="J138" s="382"/>
      <c r="K138" s="67" t="str">
        <f>'1.4.5 Community Facilities'!D23</f>
        <v>Constructed</v>
      </c>
      <c r="L138" s="321" t="s">
        <v>782</v>
      </c>
      <c r="M138" s="382"/>
      <c r="N138" s="67" t="s">
        <v>627</v>
      </c>
      <c r="O138" s="67"/>
      <c r="P138" s="67" t="s">
        <v>669</v>
      </c>
      <c r="Q138" s="67" t="s">
        <v>738</v>
      </c>
      <c r="R138" s="382"/>
      <c r="S138" s="67"/>
      <c r="T138" s="67"/>
    </row>
    <row r="139" spans="1:32" s="64" customFormat="1" x14ac:dyDescent="0.2">
      <c r="A139" s="383" t="s">
        <v>14</v>
      </c>
      <c r="B139" s="383"/>
      <c r="C139" s="383"/>
      <c r="D139" s="427">
        <f>SUM(D117:D138)</f>
        <v>17450000</v>
      </c>
      <c r="E139" s="427">
        <f>SUM(E117:E138)</f>
        <v>53737220.650000006</v>
      </c>
      <c r="F139" s="427">
        <f>SUM(F117:F138)</f>
        <v>71187220.650000006</v>
      </c>
      <c r="G139" s="236"/>
      <c r="H139" s="236"/>
      <c r="I139" s="236"/>
      <c r="J139" s="391"/>
      <c r="K139" s="65"/>
      <c r="L139" s="394"/>
      <c r="M139" s="383"/>
      <c r="N139" s="65"/>
      <c r="O139" s="65"/>
      <c r="P139" s="65"/>
      <c r="Q139" s="65"/>
      <c r="R139" s="391"/>
      <c r="S139" s="65"/>
      <c r="T139" s="65"/>
    </row>
    <row r="140" spans="1:32" s="62" customFormat="1" x14ac:dyDescent="0.2">
      <c r="A140" s="418" t="s">
        <v>330</v>
      </c>
      <c r="B140" s="58"/>
      <c r="C140" s="58"/>
      <c r="D140" s="304"/>
      <c r="E140" s="304"/>
      <c r="F140" s="304"/>
      <c r="G140" s="58"/>
      <c r="H140" s="58"/>
      <c r="I140" s="58"/>
      <c r="J140" s="81"/>
      <c r="K140" s="58"/>
      <c r="L140" s="58"/>
      <c r="M140" s="192"/>
      <c r="N140" s="82"/>
      <c r="O140" s="58"/>
      <c r="P140" s="58"/>
      <c r="Q140" s="58"/>
      <c r="R140" s="477"/>
      <c r="S140" s="58"/>
      <c r="T140" s="58"/>
      <c r="U140" s="59"/>
      <c r="V140" s="58"/>
      <c r="W140" s="58"/>
      <c r="X140" s="58"/>
      <c r="Y140" s="58"/>
      <c r="Z140" s="60"/>
      <c r="AA140" s="60"/>
      <c r="AB140" s="60"/>
      <c r="AC140" s="60"/>
      <c r="AD140" s="60"/>
      <c r="AE140" s="60"/>
      <c r="AF140" s="61"/>
    </row>
    <row r="141" spans="1:32" s="66" customFormat="1" ht="74.25" customHeight="1" x14ac:dyDescent="0.2">
      <c r="A141" s="67" t="s">
        <v>331</v>
      </c>
      <c r="B141" s="67" t="s">
        <v>226</v>
      </c>
      <c r="C141" s="326" t="str">
        <f>'1.4.6 Active Recreation'!B3</f>
        <v>Weir Views North Sports Reserve
Construction of a sports reserve in Community Hub 1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</v>
      </c>
      <c r="D141" s="419">
        <v>0</v>
      </c>
      <c r="E141" s="419">
        <v>11020402</v>
      </c>
      <c r="F141" s="419">
        <f>D141+E141</f>
        <v>11020402</v>
      </c>
      <c r="G141" s="67" t="s">
        <v>332</v>
      </c>
      <c r="H141" s="67" t="s">
        <v>333</v>
      </c>
      <c r="I141" s="67" t="s">
        <v>968</v>
      </c>
      <c r="J141" s="382"/>
      <c r="K141" s="67" t="str">
        <f>'1.4.6 Active Recreation'!D3</f>
        <v>Not commenced</v>
      </c>
      <c r="L141" s="326"/>
      <c r="M141" s="382"/>
      <c r="N141" s="67" t="s">
        <v>627</v>
      </c>
      <c r="O141" s="67"/>
      <c r="P141" s="67" t="s">
        <v>671</v>
      </c>
      <c r="Q141" s="67"/>
      <c r="R141" s="382"/>
      <c r="S141" s="67"/>
      <c r="T141" s="67"/>
    </row>
    <row r="142" spans="1:32" s="66" customFormat="1" ht="36" x14ac:dyDescent="0.2">
      <c r="A142" s="67" t="s">
        <v>334</v>
      </c>
      <c r="B142" s="67" t="s">
        <v>313</v>
      </c>
      <c r="C142" s="326" t="str">
        <f>'1.4.6 Active Recreation'!B4</f>
        <v>Weir Views North Sports Reserve Pavilion 
Construction of a pavilion in Community Hub 1, including all building works, landscaping, and related infrastructure</v>
      </c>
      <c r="D142" s="419">
        <v>0</v>
      </c>
      <c r="E142" s="419">
        <v>1762413</v>
      </c>
      <c r="F142" s="419">
        <f t="shared" ref="F142:F157" si="7">D142+E142</f>
        <v>1762413</v>
      </c>
      <c r="G142" s="67" t="s">
        <v>332</v>
      </c>
      <c r="H142" s="67" t="s">
        <v>335</v>
      </c>
      <c r="I142" s="67" t="s">
        <v>229</v>
      </c>
      <c r="J142" s="382"/>
      <c r="K142" s="67" t="str">
        <f>'1.4.6 Active Recreation'!D4</f>
        <v>Not commenced</v>
      </c>
      <c r="L142" s="326"/>
      <c r="M142" s="382"/>
      <c r="N142" s="67" t="s">
        <v>627</v>
      </c>
      <c r="O142" s="67"/>
      <c r="P142" s="67" t="s">
        <v>673</v>
      </c>
      <c r="Q142" s="67"/>
      <c r="R142" s="382"/>
      <c r="S142" s="67"/>
      <c r="T142" s="67"/>
    </row>
    <row r="143" spans="1:32" s="66" customFormat="1" ht="49.5" customHeight="1" x14ac:dyDescent="0.2">
      <c r="A143" s="67" t="s">
        <v>336</v>
      </c>
      <c r="B143" s="67" t="s">
        <v>226</v>
      </c>
      <c r="C143" s="326" t="str">
        <f>'1.4.6 Active Recreation'!B5</f>
        <v>Weir Views East Sports Reserve
Construction of a sports reserve incorporating:
- Playing surfaces and car parks, including all construction works, landscaping, and related infrastructure
- Playground including play space, youth space, picnic facilities, and BBQ</v>
      </c>
      <c r="D143" s="419">
        <v>0</v>
      </c>
      <c r="E143" s="419">
        <v>8536422</v>
      </c>
      <c r="F143" s="419">
        <f t="shared" si="7"/>
        <v>8536422</v>
      </c>
      <c r="G143" s="67" t="s">
        <v>332</v>
      </c>
      <c r="H143" s="67" t="s">
        <v>307</v>
      </c>
      <c r="I143" s="67" t="s">
        <v>229</v>
      </c>
      <c r="J143" s="382"/>
      <c r="K143" s="67" t="str">
        <f>'1.4.6 Active Recreation'!D5</f>
        <v>Not commenced</v>
      </c>
      <c r="L143" s="326"/>
      <c r="M143" s="382"/>
      <c r="N143" s="67" t="s">
        <v>627</v>
      </c>
      <c r="O143" s="67"/>
      <c r="P143" s="67" t="s">
        <v>672</v>
      </c>
      <c r="Q143" s="67"/>
      <c r="R143" s="382"/>
      <c r="S143" s="67"/>
      <c r="T143" s="67"/>
    </row>
    <row r="144" spans="1:32" s="66" customFormat="1" ht="36" x14ac:dyDescent="0.2">
      <c r="A144" s="67" t="s">
        <v>337</v>
      </c>
      <c r="B144" s="67" t="s">
        <v>313</v>
      </c>
      <c r="C144" s="326" t="str">
        <f>'1.4.6 Active Recreation'!B6</f>
        <v>Weir Views East Sports Reserve Pavilion
Construction of a pavilion, including all building works, landscaping, and related infrastructure</v>
      </c>
      <c r="D144" s="419">
        <v>0</v>
      </c>
      <c r="E144" s="419">
        <f>E142</f>
        <v>1762413</v>
      </c>
      <c r="F144" s="419">
        <f t="shared" si="7"/>
        <v>1762413</v>
      </c>
      <c r="G144" s="67" t="s">
        <v>332</v>
      </c>
      <c r="H144" s="67" t="s">
        <v>335</v>
      </c>
      <c r="I144" s="67" t="s">
        <v>229</v>
      </c>
      <c r="J144" s="382"/>
      <c r="K144" s="67" t="str">
        <f>'1.4.6 Active Recreation'!D6</f>
        <v>Not commenced</v>
      </c>
      <c r="L144" s="326"/>
      <c r="M144" s="382"/>
      <c r="N144" s="67" t="s">
        <v>627</v>
      </c>
      <c r="O144" s="67"/>
      <c r="P144" s="67" t="s">
        <v>673</v>
      </c>
      <c r="Q144" s="67"/>
      <c r="R144" s="382"/>
      <c r="S144" s="67"/>
      <c r="T144" s="67"/>
    </row>
    <row r="145" spans="1:32" s="66" customFormat="1" ht="51" customHeight="1" x14ac:dyDescent="0.2">
      <c r="A145" s="67" t="s">
        <v>338</v>
      </c>
      <c r="B145" s="67" t="s">
        <v>226</v>
      </c>
      <c r="C145" s="326" t="str">
        <f>'1.4.6 Active Recreation'!B7</f>
        <v>Weir Views South Sports Reserve
Construction of a sports reserve in Community Hub 2 incorporating:
- Playing surfaces and car parks, including all construction works, landscaping, and related infrastructure
- Playground including play space, youth space, picnic facilities, and BBQ</v>
      </c>
      <c r="D145" s="419">
        <v>0</v>
      </c>
      <c r="E145" s="419">
        <f>E141</f>
        <v>11020402</v>
      </c>
      <c r="F145" s="419">
        <f t="shared" si="7"/>
        <v>11020402</v>
      </c>
      <c r="G145" s="67" t="s">
        <v>332</v>
      </c>
      <c r="H145" s="67" t="s">
        <v>307</v>
      </c>
      <c r="I145" s="67" t="s">
        <v>229</v>
      </c>
      <c r="J145" s="382"/>
      <c r="K145" s="67" t="str">
        <f>'1.4.6 Active Recreation'!D7</f>
        <v>Not commenced</v>
      </c>
      <c r="L145" s="326"/>
      <c r="M145" s="382"/>
      <c r="N145" s="67" t="s">
        <v>627</v>
      </c>
      <c r="O145" s="67"/>
      <c r="P145" s="67" t="s">
        <v>671</v>
      </c>
      <c r="Q145" s="67"/>
      <c r="R145" s="382"/>
      <c r="S145" s="67"/>
      <c r="T145" s="67"/>
    </row>
    <row r="146" spans="1:32" s="66" customFormat="1" ht="36" x14ac:dyDescent="0.2">
      <c r="A146" s="67" t="s">
        <v>339</v>
      </c>
      <c r="B146" s="67" t="s">
        <v>313</v>
      </c>
      <c r="C146" s="326" t="str">
        <f>'1.4.6 Active Recreation'!B8</f>
        <v>Weir Views South Sports Reserve
Construction of a pavilion in Community Hub 2, including all building works, landscaping, and related infrastructure</v>
      </c>
      <c r="D146" s="419">
        <v>0</v>
      </c>
      <c r="E146" s="419">
        <f>E142</f>
        <v>1762413</v>
      </c>
      <c r="F146" s="419">
        <f t="shared" si="7"/>
        <v>1762413</v>
      </c>
      <c r="G146" s="67" t="s">
        <v>332</v>
      </c>
      <c r="H146" s="67" t="s">
        <v>335</v>
      </c>
      <c r="I146" s="67" t="s">
        <v>229</v>
      </c>
      <c r="J146" s="382"/>
      <c r="K146" s="67" t="str">
        <f>'1.4.6 Active Recreation'!D8</f>
        <v>Not commenced</v>
      </c>
      <c r="L146" s="326"/>
      <c r="M146" s="382"/>
      <c r="N146" s="67" t="s">
        <v>627</v>
      </c>
      <c r="O146" s="67"/>
      <c r="P146" s="67" t="s">
        <v>673</v>
      </c>
      <c r="Q146" s="67"/>
      <c r="R146" s="382"/>
      <c r="S146" s="67"/>
      <c r="T146" s="67"/>
    </row>
    <row r="147" spans="1:32" s="66" customFormat="1" ht="51" customHeight="1" x14ac:dyDescent="0.2">
      <c r="A147" s="67" t="s">
        <v>340</v>
      </c>
      <c r="B147" s="67" t="s">
        <v>226</v>
      </c>
      <c r="C147" s="326" t="str">
        <f>'1.4.6 Active Recreation'!B9</f>
        <v>Strathtulloh Sports Reserve
Construction of a sports reserve in Community Hub 3 incorporating:
- Playing surfaces and car parks, including all construction works, landscaping, and related infrastructure
- Playground including play space, youth space, picnic facilities, and BBQ</v>
      </c>
      <c r="D147" s="419">
        <v>0</v>
      </c>
      <c r="E147" s="419">
        <f>E141</f>
        <v>11020402</v>
      </c>
      <c r="F147" s="419">
        <f t="shared" si="7"/>
        <v>11020402</v>
      </c>
      <c r="G147" s="67" t="s">
        <v>332</v>
      </c>
      <c r="H147" s="67" t="s">
        <v>307</v>
      </c>
      <c r="I147" s="67" t="s">
        <v>229</v>
      </c>
      <c r="J147" s="382"/>
      <c r="K147" s="67" t="str">
        <f>'1.4.6 Active Recreation'!D9</f>
        <v>Not commenced</v>
      </c>
      <c r="L147" s="326"/>
      <c r="M147" s="382"/>
      <c r="N147" s="67" t="s">
        <v>627</v>
      </c>
      <c r="O147" s="67"/>
      <c r="P147" s="67" t="s">
        <v>671</v>
      </c>
      <c r="Q147" s="67"/>
      <c r="R147" s="382"/>
      <c r="S147" s="67"/>
      <c r="T147" s="67"/>
    </row>
    <row r="148" spans="1:32" s="66" customFormat="1" ht="36" x14ac:dyDescent="0.2">
      <c r="A148" s="67" t="s">
        <v>341</v>
      </c>
      <c r="B148" s="67" t="s">
        <v>313</v>
      </c>
      <c r="C148" s="326" t="str">
        <f>'1.4.6 Active Recreation'!B10</f>
        <v>Strathtulloh Sports Reserve Pavilion
Construction of a pavilion in Community Hub 3, including all building works, landscaping, and related infrastructure</v>
      </c>
      <c r="D148" s="419">
        <v>0</v>
      </c>
      <c r="E148" s="419">
        <f>E142*2</f>
        <v>3524826</v>
      </c>
      <c r="F148" s="419">
        <f t="shared" si="7"/>
        <v>3524826</v>
      </c>
      <c r="G148" s="67" t="s">
        <v>332</v>
      </c>
      <c r="H148" s="67" t="s">
        <v>335</v>
      </c>
      <c r="I148" s="67" t="s">
        <v>229</v>
      </c>
      <c r="J148" s="382"/>
      <c r="K148" s="67" t="str">
        <f>'1.4.6 Active Recreation'!D10</f>
        <v>Not commenced</v>
      </c>
      <c r="L148" s="326"/>
      <c r="M148" s="382"/>
      <c r="N148" s="67" t="s">
        <v>627</v>
      </c>
      <c r="O148" s="67"/>
      <c r="P148" s="67" t="s">
        <v>674</v>
      </c>
      <c r="Q148" s="67"/>
      <c r="R148" s="382"/>
      <c r="S148" s="67"/>
      <c r="T148" s="67"/>
    </row>
    <row r="149" spans="1:32" s="66" customFormat="1" ht="74.25" customHeight="1" x14ac:dyDescent="0.2">
      <c r="A149" s="67" t="s">
        <v>342</v>
      </c>
      <c r="B149" s="67" t="s">
        <v>226</v>
      </c>
      <c r="C149" s="326" t="str">
        <f>'1.4.6 Active Recreation'!B11</f>
        <v>Thornhill Park Sports Reserve
Construction of a sports reserve in Community Hub 4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</v>
      </c>
      <c r="D149" s="419">
        <v>0</v>
      </c>
      <c r="E149" s="419">
        <f>E141</f>
        <v>11020402</v>
      </c>
      <c r="F149" s="419">
        <f t="shared" si="7"/>
        <v>11020402</v>
      </c>
      <c r="G149" s="67" t="s">
        <v>332</v>
      </c>
      <c r="H149" s="67" t="s">
        <v>333</v>
      </c>
      <c r="I149" s="67" t="s">
        <v>229</v>
      </c>
      <c r="J149" s="382"/>
      <c r="K149" s="67" t="str">
        <f>'1.4.6 Active Recreation'!D11</f>
        <v>Not commenced</v>
      </c>
      <c r="L149" s="326"/>
      <c r="M149" s="382"/>
      <c r="N149" s="67" t="s">
        <v>627</v>
      </c>
      <c r="O149" s="67"/>
      <c r="P149" s="67" t="s">
        <v>671</v>
      </c>
      <c r="Q149" s="67"/>
      <c r="R149" s="382"/>
      <c r="S149" s="67"/>
      <c r="T149" s="67"/>
    </row>
    <row r="150" spans="1:32" s="66" customFormat="1" ht="36" x14ac:dyDescent="0.2">
      <c r="A150" s="67" t="s">
        <v>343</v>
      </c>
      <c r="B150" s="67" t="s">
        <v>313</v>
      </c>
      <c r="C150" s="326" t="str">
        <f>'1.4.6 Active Recreation'!B12</f>
        <v>Thornhill Park Sports Reserve Pavilion
Construction of a pavilion in Community Hub 4, including all building works, landscaping, and related infrastructure</v>
      </c>
      <c r="D150" s="419">
        <v>0</v>
      </c>
      <c r="E150" s="419">
        <f>E142</f>
        <v>1762413</v>
      </c>
      <c r="F150" s="419">
        <f t="shared" si="7"/>
        <v>1762413</v>
      </c>
      <c r="G150" s="67" t="s">
        <v>332</v>
      </c>
      <c r="H150" s="67" t="s">
        <v>335</v>
      </c>
      <c r="I150" s="67" t="s">
        <v>229</v>
      </c>
      <c r="J150" s="382"/>
      <c r="K150" s="67" t="str">
        <f>'1.4.6 Active Recreation'!D12</f>
        <v>Not commenced</v>
      </c>
      <c r="L150" s="326"/>
      <c r="M150" s="382"/>
      <c r="N150" s="67" t="s">
        <v>627</v>
      </c>
      <c r="O150" s="67"/>
      <c r="P150" s="67" t="s">
        <v>673</v>
      </c>
      <c r="Q150" s="67"/>
      <c r="R150" s="382"/>
      <c r="S150" s="67"/>
      <c r="T150" s="67"/>
    </row>
    <row r="151" spans="1:32" s="66" customFormat="1" ht="50.25" customHeight="1" x14ac:dyDescent="0.2">
      <c r="A151" s="67" t="s">
        <v>344</v>
      </c>
      <c r="B151" s="67" t="s">
        <v>226</v>
      </c>
      <c r="C151" s="326" t="str">
        <f>'1.4.6 Active Recreation'!B13</f>
        <v>Cobblebank East Sports Reserve
Construction of a sports reserve in Community Hub 5 incorporating:
- Playing surfaces and car parks, including all construction works, landscaping, and related infrastructure
- Playground including play space, youth space, picnic facilities, and BBQ</v>
      </c>
      <c r="D151" s="419">
        <v>0</v>
      </c>
      <c r="E151" s="419">
        <f>E143</f>
        <v>8536422</v>
      </c>
      <c r="F151" s="419">
        <f t="shared" si="7"/>
        <v>8536422</v>
      </c>
      <c r="G151" s="67" t="s">
        <v>332</v>
      </c>
      <c r="H151" s="67" t="s">
        <v>307</v>
      </c>
      <c r="I151" s="67" t="s">
        <v>229</v>
      </c>
      <c r="J151" s="382"/>
      <c r="K151" s="67" t="str">
        <f>'1.4.6 Active Recreation'!D13</f>
        <v>Not commenced</v>
      </c>
      <c r="L151" s="326"/>
      <c r="M151" s="382"/>
      <c r="N151" s="67" t="s">
        <v>627</v>
      </c>
      <c r="O151" s="67"/>
      <c r="P151" s="67" t="s">
        <v>672</v>
      </c>
      <c r="Q151" s="67"/>
      <c r="R151" s="382"/>
      <c r="S151" s="67"/>
      <c r="T151" s="67"/>
    </row>
    <row r="152" spans="1:32" s="66" customFormat="1" ht="36" x14ac:dyDescent="0.2">
      <c r="A152" s="67" t="s">
        <v>345</v>
      </c>
      <c r="B152" s="67" t="s">
        <v>313</v>
      </c>
      <c r="C152" s="326" t="str">
        <f>'1.4.6 Active Recreation'!B14</f>
        <v>Cobblebank East Sports Reserve Pavilion
Construction of a pavilion in Community Hub 5, including all building works, landscaping, and related infrastructure</v>
      </c>
      <c r="D152" s="419">
        <v>0</v>
      </c>
      <c r="E152" s="419">
        <f>E142</f>
        <v>1762413</v>
      </c>
      <c r="F152" s="419">
        <f t="shared" si="7"/>
        <v>1762413</v>
      </c>
      <c r="G152" s="67" t="s">
        <v>332</v>
      </c>
      <c r="H152" s="67" t="s">
        <v>335</v>
      </c>
      <c r="I152" s="67" t="s">
        <v>229</v>
      </c>
      <c r="J152" s="382"/>
      <c r="K152" s="67" t="str">
        <f>'1.4.6 Active Recreation'!D14</f>
        <v>Not commenced</v>
      </c>
      <c r="L152" s="326"/>
      <c r="M152" s="382"/>
      <c r="N152" s="67" t="s">
        <v>627</v>
      </c>
      <c r="O152" s="67"/>
      <c r="P152" s="67" t="s">
        <v>673</v>
      </c>
      <c r="Q152" s="67"/>
      <c r="R152" s="382"/>
      <c r="S152" s="67"/>
      <c r="T152" s="67"/>
    </row>
    <row r="153" spans="1:32" s="66" customFormat="1" ht="51" customHeight="1" x14ac:dyDescent="0.2">
      <c r="A153" s="67" t="s">
        <v>346</v>
      </c>
      <c r="B153" s="67" t="s">
        <v>226</v>
      </c>
      <c r="C153" s="326" t="str">
        <f>'1.4.6 Active Recreation'!B15</f>
        <v>Cobblebank Central Sports Reserve
Construction of a sports reserve in Community Hub 7 incorporating:
- Playing surfaces and car parks, including all construction works, landscaping, and related infrastructure
- Playground including play space, youth space, picnic facilities, and BBQ</v>
      </c>
      <c r="D153" s="419">
        <v>0</v>
      </c>
      <c r="E153" s="419">
        <f>E141</f>
        <v>11020402</v>
      </c>
      <c r="F153" s="419">
        <f t="shared" si="7"/>
        <v>11020402</v>
      </c>
      <c r="G153" s="67" t="s">
        <v>332</v>
      </c>
      <c r="H153" s="67" t="s">
        <v>307</v>
      </c>
      <c r="I153" s="67" t="s">
        <v>229</v>
      </c>
      <c r="J153" s="382"/>
      <c r="K153" s="67" t="str">
        <f>'1.4.6 Active Recreation'!D15</f>
        <v>Not commenced</v>
      </c>
      <c r="L153" s="326"/>
      <c r="M153" s="382"/>
      <c r="N153" s="67" t="s">
        <v>627</v>
      </c>
      <c r="O153" s="67"/>
      <c r="P153" s="67" t="s">
        <v>671</v>
      </c>
      <c r="Q153" s="67"/>
      <c r="R153" s="382"/>
      <c r="S153" s="67"/>
      <c r="T153" s="67"/>
    </row>
    <row r="154" spans="1:32" s="66" customFormat="1" ht="36" x14ac:dyDescent="0.2">
      <c r="A154" s="67" t="s">
        <v>347</v>
      </c>
      <c r="B154" s="67" t="s">
        <v>313</v>
      </c>
      <c r="C154" s="326" t="str">
        <f>'1.4.6 Active Recreation'!B16</f>
        <v>Cobblebank Central Sports Reserve Pavilion
Construction of a pavilion in Community Hub 7, including all building works, landscaping and related infrastructure</v>
      </c>
      <c r="D154" s="419">
        <v>0</v>
      </c>
      <c r="E154" s="419">
        <f>E142</f>
        <v>1762413</v>
      </c>
      <c r="F154" s="419">
        <f t="shared" si="7"/>
        <v>1762413</v>
      </c>
      <c r="G154" s="67" t="s">
        <v>332</v>
      </c>
      <c r="H154" s="67" t="s">
        <v>335</v>
      </c>
      <c r="I154" s="67" t="s">
        <v>229</v>
      </c>
      <c r="J154" s="382"/>
      <c r="K154" s="67" t="str">
        <f>'1.4.6 Active Recreation'!D16</f>
        <v>Not commenced</v>
      </c>
      <c r="L154" s="326"/>
      <c r="M154" s="382"/>
      <c r="N154" s="67" t="s">
        <v>627</v>
      </c>
      <c r="O154" s="67"/>
      <c r="P154" s="67" t="s">
        <v>673</v>
      </c>
      <c r="Q154" s="67"/>
      <c r="R154" s="382"/>
      <c r="S154" s="67"/>
      <c r="T154" s="67"/>
    </row>
    <row r="155" spans="1:32" s="66" customFormat="1" ht="85.5" customHeight="1" x14ac:dyDescent="0.2">
      <c r="A155" s="67" t="s">
        <v>348</v>
      </c>
      <c r="B155" s="67" t="s">
        <v>226</v>
      </c>
      <c r="C155" s="326" t="str">
        <f>'1.4.6 Active Recreation'!B17</f>
        <v>Bridge Road Sports Reserve
Construction of a sports reserve in Community Hub 6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
Area 2 Contribution (60%)</v>
      </c>
      <c r="D155" s="419">
        <v>0</v>
      </c>
      <c r="E155" s="419">
        <v>2296579.52</v>
      </c>
      <c r="F155" s="419">
        <f t="shared" si="7"/>
        <v>2296579.52</v>
      </c>
      <c r="G155" s="67" t="s">
        <v>317</v>
      </c>
      <c r="H155" s="67" t="s">
        <v>333</v>
      </c>
      <c r="I155" s="67" t="s">
        <v>229</v>
      </c>
      <c r="J155" s="382"/>
      <c r="K155" s="67" t="str">
        <f>'1.4.6 Active Recreation'!D17</f>
        <v>Constructed</v>
      </c>
      <c r="L155" s="321" t="s">
        <v>782</v>
      </c>
      <c r="M155" s="382"/>
      <c r="N155" s="67" t="s">
        <v>627</v>
      </c>
      <c r="O155" s="67"/>
      <c r="P155" s="67" t="s">
        <v>669</v>
      </c>
      <c r="Q155" s="67" t="s">
        <v>738</v>
      </c>
      <c r="R155" s="382"/>
      <c r="S155" s="67"/>
      <c r="T155" s="67"/>
    </row>
    <row r="156" spans="1:32" s="66" customFormat="1" ht="86.25" customHeight="1" x14ac:dyDescent="0.2">
      <c r="A156" s="67" t="s">
        <v>349</v>
      </c>
      <c r="B156" s="67" t="s">
        <v>226</v>
      </c>
      <c r="C156" s="326" t="str">
        <f>'1.4.6 Active Recreation'!B18</f>
        <v>Bridge Road Sports Reserve
Construction of a sports reserve in Community Hub 6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
Area 3 Contribution (40%)</v>
      </c>
      <c r="D156" s="419">
        <v>0</v>
      </c>
      <c r="E156" s="419">
        <v>1531053.01</v>
      </c>
      <c r="F156" s="419">
        <f t="shared" si="7"/>
        <v>1531053.01</v>
      </c>
      <c r="G156" s="67" t="s">
        <v>325</v>
      </c>
      <c r="H156" s="67" t="s">
        <v>333</v>
      </c>
      <c r="I156" s="67" t="s">
        <v>229</v>
      </c>
      <c r="J156" s="382"/>
      <c r="K156" s="67" t="str">
        <f>'1.4.6 Active Recreation'!D18</f>
        <v>Constructed</v>
      </c>
      <c r="L156" s="321" t="s">
        <v>782</v>
      </c>
      <c r="M156" s="382"/>
      <c r="N156" s="67" t="s">
        <v>627</v>
      </c>
      <c r="O156" s="67"/>
      <c r="P156" s="67" t="s">
        <v>669</v>
      </c>
      <c r="Q156" s="67" t="s">
        <v>738</v>
      </c>
      <c r="R156" s="382"/>
      <c r="S156" s="67"/>
      <c r="T156" s="67"/>
    </row>
    <row r="157" spans="1:32" s="66" customFormat="1" ht="36" x14ac:dyDescent="0.2">
      <c r="A157" s="67" t="s">
        <v>350</v>
      </c>
      <c r="B157" s="67" t="s">
        <v>313</v>
      </c>
      <c r="C157" s="326" t="str">
        <f>'1.4.6 Active Recreation'!B19</f>
        <v>Bridge Road Sports Reserve Pavilion
Construction of a pavilion in Community Hub 6, including all building works, landscaping, and related infrastructure</v>
      </c>
      <c r="D157" s="419">
        <v>0</v>
      </c>
      <c r="E157" s="419">
        <v>1611363.36</v>
      </c>
      <c r="F157" s="419">
        <f t="shared" si="7"/>
        <v>1611363.36</v>
      </c>
      <c r="G157" s="67" t="s">
        <v>329</v>
      </c>
      <c r="H157" s="67" t="s">
        <v>335</v>
      </c>
      <c r="I157" s="67" t="s">
        <v>229</v>
      </c>
      <c r="J157" s="382"/>
      <c r="K157" s="67" t="str">
        <f>'1.4.6 Active Recreation'!D19</f>
        <v>Constructed</v>
      </c>
      <c r="L157" s="321" t="s">
        <v>782</v>
      </c>
      <c r="M157" s="382"/>
      <c r="N157" s="67" t="s">
        <v>627</v>
      </c>
      <c r="O157" s="67"/>
      <c r="P157" s="67" t="s">
        <v>669</v>
      </c>
      <c r="Q157" s="67" t="s">
        <v>738</v>
      </c>
      <c r="R157" s="382"/>
      <c r="S157" s="67"/>
      <c r="T157" s="67"/>
    </row>
    <row r="158" spans="1:32" s="64" customFormat="1" x14ac:dyDescent="0.2">
      <c r="A158" s="383" t="s">
        <v>14</v>
      </c>
      <c r="B158" s="383"/>
      <c r="C158" s="383"/>
      <c r="D158" s="386">
        <f>SUM(D141:D157)</f>
        <v>0</v>
      </c>
      <c r="E158" s="386">
        <f t="shared" ref="E158:F158" si="8">SUM(E141:E157)</f>
        <v>91713153.890000001</v>
      </c>
      <c r="F158" s="386">
        <f t="shared" si="8"/>
        <v>91713153.890000001</v>
      </c>
      <c r="G158" s="236"/>
      <c r="H158" s="236"/>
      <c r="I158" s="236"/>
      <c r="J158" s="391"/>
      <c r="K158" s="65"/>
      <c r="L158" s="394"/>
      <c r="M158" s="383"/>
      <c r="N158" s="65"/>
      <c r="O158" s="65"/>
      <c r="P158" s="65"/>
      <c r="Q158" s="65"/>
      <c r="R158" s="391"/>
      <c r="S158" s="65"/>
      <c r="T158" s="65"/>
    </row>
    <row r="159" spans="1:32" s="62" customFormat="1" x14ac:dyDescent="0.2">
      <c r="A159" s="418" t="s">
        <v>351</v>
      </c>
      <c r="B159" s="58"/>
      <c r="C159" s="58"/>
      <c r="D159" s="304"/>
      <c r="E159" s="304"/>
      <c r="F159" s="304"/>
      <c r="G159" s="58"/>
      <c r="H159" s="58"/>
      <c r="I159" s="58"/>
      <c r="J159" s="81"/>
      <c r="K159" s="58"/>
      <c r="L159" s="58"/>
      <c r="M159" s="192"/>
      <c r="N159" s="82"/>
      <c r="O159" s="58"/>
      <c r="P159" s="58"/>
      <c r="Q159" s="58"/>
      <c r="R159" s="477"/>
      <c r="S159" s="58"/>
      <c r="T159" s="58"/>
      <c r="U159" s="59"/>
      <c r="V159" s="58"/>
      <c r="W159" s="58"/>
      <c r="X159" s="58"/>
      <c r="Y159" s="58"/>
      <c r="Z159" s="60"/>
      <c r="AA159" s="60"/>
      <c r="AB159" s="60"/>
      <c r="AC159" s="60"/>
      <c r="AD159" s="60"/>
      <c r="AE159" s="60"/>
      <c r="AF159" s="61"/>
    </row>
    <row r="160" spans="1:32" s="73" customFormat="1" ht="36" x14ac:dyDescent="0.25">
      <c r="A160" s="67" t="s">
        <v>352</v>
      </c>
      <c r="B160" s="67" t="s">
        <v>226</v>
      </c>
      <c r="C160" s="326" t="str">
        <f>'1.4.3 Transport'!B83</f>
        <v>Toolern Creek Regional Park Trail
Concrete Shared Path including pavement, drainage, and landscaping (3 metres wide, length 3,250 metres)</v>
      </c>
      <c r="D160" s="419">
        <v>0</v>
      </c>
      <c r="E160" s="419">
        <v>916462.91</v>
      </c>
      <c r="F160" s="419">
        <f>E160</f>
        <v>916462.91</v>
      </c>
      <c r="G160" s="67" t="s">
        <v>353</v>
      </c>
      <c r="H160" s="67" t="s">
        <v>354</v>
      </c>
      <c r="I160" s="67" t="s">
        <v>966</v>
      </c>
      <c r="J160" s="382"/>
      <c r="K160" s="67" t="str">
        <f>'1.4.3 Transport'!D83</f>
        <v>Constructed</v>
      </c>
      <c r="L160" s="321" t="s">
        <v>782</v>
      </c>
      <c r="M160" s="382"/>
      <c r="N160" s="67" t="s">
        <v>627</v>
      </c>
      <c r="O160" s="67"/>
      <c r="P160" s="67" t="s">
        <v>669</v>
      </c>
      <c r="Q160" s="67" t="s">
        <v>777</v>
      </c>
      <c r="R160" s="382"/>
      <c r="S160" s="67"/>
      <c r="T160" s="67"/>
    </row>
    <row r="161" spans="1:32" s="64" customFormat="1" x14ac:dyDescent="0.2">
      <c r="A161" s="383" t="s">
        <v>14</v>
      </c>
      <c r="B161" s="383"/>
      <c r="C161" s="383"/>
      <c r="D161" s="386">
        <v>0</v>
      </c>
      <c r="E161" s="386">
        <f>E160</f>
        <v>916462.91</v>
      </c>
      <c r="F161" s="386">
        <f>F160</f>
        <v>916462.91</v>
      </c>
      <c r="G161" s="236"/>
      <c r="H161" s="236"/>
      <c r="I161" s="383"/>
      <c r="J161" s="391"/>
      <c r="K161" s="65"/>
      <c r="L161" s="394"/>
      <c r="M161" s="383"/>
      <c r="N161" s="65"/>
      <c r="O161" s="65"/>
      <c r="P161" s="65"/>
      <c r="Q161" s="65"/>
      <c r="R161" s="391"/>
      <c r="S161" s="65"/>
      <c r="T161" s="65"/>
    </row>
    <row r="162" spans="1:32" s="62" customFormat="1" x14ac:dyDescent="0.2">
      <c r="A162" s="418" t="s">
        <v>355</v>
      </c>
      <c r="B162" s="58"/>
      <c r="C162" s="58"/>
      <c r="D162" s="304"/>
      <c r="E162" s="304"/>
      <c r="F162" s="304"/>
      <c r="G162" s="58"/>
      <c r="H162" s="58"/>
      <c r="I162" s="58"/>
      <c r="J162" s="81"/>
      <c r="K162" s="58"/>
      <c r="L162" s="58"/>
      <c r="M162" s="192"/>
      <c r="N162" s="82"/>
      <c r="O162" s="58"/>
      <c r="P162" s="58"/>
      <c r="Q162" s="58"/>
      <c r="R162" s="477"/>
      <c r="S162" s="58"/>
      <c r="T162" s="58"/>
      <c r="U162" s="59"/>
      <c r="V162" s="58"/>
      <c r="W162" s="58"/>
      <c r="X162" s="58"/>
      <c r="Y162" s="58"/>
      <c r="Z162" s="60"/>
      <c r="AA162" s="60"/>
      <c r="AB162" s="60"/>
      <c r="AC162" s="60"/>
      <c r="AD162" s="60"/>
      <c r="AE162" s="60"/>
      <c r="AF162" s="61"/>
    </row>
    <row r="163" spans="1:32" s="73" customFormat="1" ht="36" x14ac:dyDescent="0.25">
      <c r="A163" s="67" t="s">
        <v>356</v>
      </c>
      <c r="B163" s="67" t="s">
        <v>226</v>
      </c>
      <c r="C163" s="326" t="s">
        <v>552</v>
      </c>
      <c r="D163" s="419">
        <v>0</v>
      </c>
      <c r="E163" s="419">
        <v>0</v>
      </c>
      <c r="F163" s="419">
        <v>1678503.51</v>
      </c>
      <c r="G163" s="67" t="s">
        <v>227</v>
      </c>
      <c r="H163" s="67"/>
      <c r="I163" s="326"/>
      <c r="J163" s="382"/>
      <c r="K163" s="67" t="s">
        <v>779</v>
      </c>
      <c r="L163" s="321" t="s">
        <v>782</v>
      </c>
      <c r="M163" s="382"/>
      <c r="N163" s="67" t="s">
        <v>627</v>
      </c>
      <c r="O163" s="67"/>
      <c r="P163" s="67" t="s">
        <v>670</v>
      </c>
      <c r="Q163" s="67"/>
      <c r="R163" s="382"/>
      <c r="S163" s="67"/>
      <c r="T163" s="67"/>
    </row>
    <row r="164" spans="1:32" s="64" customFormat="1" x14ac:dyDescent="0.2">
      <c r="A164" s="383" t="s">
        <v>14</v>
      </c>
      <c r="B164" s="383"/>
      <c r="C164" s="383"/>
      <c r="D164" s="386">
        <v>0</v>
      </c>
      <c r="E164" s="386">
        <v>0</v>
      </c>
      <c r="F164" s="386">
        <f>F163</f>
        <v>1678503.51</v>
      </c>
      <c r="G164" s="383"/>
      <c r="H164" s="383"/>
      <c r="I164" s="383"/>
      <c r="J164" s="391"/>
      <c r="K164" s="65"/>
      <c r="L164" s="394"/>
      <c r="M164" s="383"/>
      <c r="N164" s="65"/>
      <c r="O164" s="236"/>
      <c r="P164" s="236"/>
      <c r="Q164" s="236"/>
      <c r="R164" s="391"/>
      <c r="S164" s="65"/>
      <c r="T164" s="65"/>
    </row>
    <row r="165" spans="1:32" s="70" customFormat="1" x14ac:dyDescent="0.2">
      <c r="A165" s="407" t="s">
        <v>213</v>
      </c>
      <c r="B165" s="407"/>
      <c r="C165" s="407"/>
      <c r="D165" s="428">
        <f>D164+D161+D158+D139+D104+D101+D78+D44+D115</f>
        <v>196718881.97</v>
      </c>
      <c r="E165" s="428">
        <f>E164+E161+E158+E139+E104+E101+E78+E44+E115</f>
        <v>466124958.54999995</v>
      </c>
      <c r="F165" s="428">
        <f>F164+F161+F158+F139+F104+F101+F78+F44+F115</f>
        <v>664522344.02999997</v>
      </c>
      <c r="G165" s="407"/>
      <c r="H165" s="407"/>
      <c r="I165" s="407"/>
      <c r="J165" s="429"/>
      <c r="K165" s="71"/>
      <c r="L165" s="430"/>
      <c r="M165" s="407"/>
      <c r="N165" s="71"/>
      <c r="O165" s="237"/>
      <c r="P165" s="237"/>
      <c r="Q165" s="237"/>
      <c r="R165" s="429"/>
      <c r="S165" s="71"/>
      <c r="T165" s="71"/>
    </row>
    <row r="166" spans="1:32" x14ac:dyDescent="0.2">
      <c r="S166" s="246">
        <f>SUM(S6:S165)</f>
        <v>25642136.27</v>
      </c>
      <c r="T166" s="247">
        <f>SUM(T6:T165)</f>
        <v>14257813</v>
      </c>
    </row>
    <row r="167" spans="1:32" x14ac:dyDescent="0.2">
      <c r="A167" s="431"/>
    </row>
    <row r="168" spans="1:32" x14ac:dyDescent="0.2">
      <c r="A168" s="431"/>
    </row>
    <row r="169" spans="1:32" x14ac:dyDescent="0.2">
      <c r="A169" s="431"/>
    </row>
  </sheetData>
  <sheetProtection algorithmName="SHA-512" hashValue="31tGV2wja2bm5rVc5HYUUINEgfrv6j34Tw3P4wAUSYicj5IijdhcKMitceL6rCm9ydbSrmqjeqVjvDv0gqTyfw==" saltValue="nAqowGs7sGZXPxpUqONfPQ==" spinCount="100000" sheet="1" objects="1" scenarios="1"/>
  <phoneticPr fontId="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172"/>
  <sheetViews>
    <sheetView zoomScale="90" zoomScaleNormal="90" workbookViewId="0">
      <selection sqref="A1:XFD1048576"/>
    </sheetView>
  </sheetViews>
  <sheetFormatPr defaultColWidth="9.140625" defaultRowHeight="12" x14ac:dyDescent="0.2"/>
  <cols>
    <col min="1" max="1" width="16.42578125" style="375" customWidth="1"/>
    <col min="2" max="2" width="14.140625" style="375" bestFit="1" customWidth="1"/>
    <col min="3" max="3" width="81.85546875" style="375" customWidth="1"/>
    <col min="4" max="4" width="12.140625" style="376" bestFit="1" customWidth="1"/>
    <col min="5" max="5" width="12.42578125" style="376" bestFit="1" customWidth="1"/>
    <col min="6" max="6" width="12.5703125" style="376" bestFit="1" customWidth="1"/>
    <col min="7" max="7" width="9.7109375" style="376" bestFit="1" customWidth="1"/>
    <col min="8" max="8" width="13" style="376" hidden="1" customWidth="1"/>
    <col min="9" max="9" width="17.28515625" style="376" bestFit="1" customWidth="1"/>
    <col min="10" max="10" width="15" style="375" bestFit="1" customWidth="1"/>
    <col min="11" max="12" width="14.28515625" style="375" bestFit="1" customWidth="1"/>
    <col min="13" max="13" width="15.85546875" style="375" customWidth="1"/>
    <col min="14" max="14" width="4" style="382" customWidth="1"/>
    <col min="15" max="15" width="41.28515625" style="54" bestFit="1" customWidth="1"/>
    <col min="16" max="16" width="33.42578125" style="54" bestFit="1" customWidth="1"/>
    <col min="17" max="17" width="44.42578125" style="54" bestFit="1" customWidth="1"/>
    <col min="18" max="18" width="45.28515625" style="54" bestFit="1" customWidth="1"/>
    <col min="19" max="19" width="45.140625" style="54" bestFit="1" customWidth="1"/>
    <col min="20" max="20" width="36.140625" style="54" bestFit="1" customWidth="1"/>
    <col min="21" max="21" width="9.140625" style="375"/>
    <col min="22" max="22" width="27.7109375" style="54" customWidth="1"/>
    <col min="23" max="23" width="27.5703125" style="375" customWidth="1"/>
    <col min="24" max="16384" width="9.140625" style="53"/>
  </cols>
  <sheetData>
    <row r="1" spans="1:36" x14ac:dyDescent="0.2">
      <c r="A1" s="416" t="s">
        <v>370</v>
      </c>
    </row>
    <row r="4" spans="1:36" s="57" customFormat="1" ht="36" x14ac:dyDescent="0.25">
      <c r="A4" s="55" t="s">
        <v>211</v>
      </c>
      <c r="B4" s="55" t="s">
        <v>212</v>
      </c>
      <c r="C4" s="55" t="s">
        <v>0</v>
      </c>
      <c r="D4" s="311" t="s">
        <v>977</v>
      </c>
      <c r="E4" s="311" t="s">
        <v>979</v>
      </c>
      <c r="F4" s="311" t="s">
        <v>978</v>
      </c>
      <c r="G4" s="311" t="s">
        <v>371</v>
      </c>
      <c r="H4" s="311" t="s">
        <v>659</v>
      </c>
      <c r="I4" s="311" t="s">
        <v>980</v>
      </c>
      <c r="J4" s="55" t="s">
        <v>372</v>
      </c>
      <c r="K4" s="55" t="s">
        <v>373</v>
      </c>
      <c r="L4" s="55" t="s">
        <v>374</v>
      </c>
      <c r="M4" s="55" t="s">
        <v>375</v>
      </c>
      <c r="N4" s="80"/>
      <c r="O4" s="55" t="s">
        <v>780</v>
      </c>
      <c r="P4" s="55" t="s">
        <v>663</v>
      </c>
      <c r="Q4" s="55" t="s">
        <v>664</v>
      </c>
      <c r="R4" s="55" t="s">
        <v>665</v>
      </c>
      <c r="S4" s="55" t="s">
        <v>662</v>
      </c>
      <c r="T4" s="55" t="s">
        <v>661</v>
      </c>
      <c r="V4" s="55" t="s">
        <v>797</v>
      </c>
      <c r="W4" s="55" t="s">
        <v>798</v>
      </c>
    </row>
    <row r="5" spans="1:36" s="86" customFormat="1" x14ac:dyDescent="0.2">
      <c r="A5" s="377" t="s">
        <v>217</v>
      </c>
      <c r="B5" s="82"/>
      <c r="C5" s="82"/>
      <c r="D5" s="312"/>
      <c r="E5" s="312"/>
      <c r="F5" s="312"/>
      <c r="G5" s="312"/>
      <c r="H5" s="312"/>
      <c r="I5" s="312"/>
      <c r="J5" s="82"/>
      <c r="K5" s="82"/>
      <c r="L5" s="82"/>
      <c r="M5" s="82"/>
      <c r="N5" s="476"/>
      <c r="O5" s="82"/>
      <c r="P5" s="82"/>
      <c r="Q5" s="82"/>
      <c r="R5" s="82"/>
      <c r="S5" s="82"/>
      <c r="T5" s="82"/>
      <c r="U5" s="248"/>
      <c r="V5" s="82"/>
      <c r="W5" s="82"/>
      <c r="X5" s="83"/>
      <c r="Y5" s="82"/>
      <c r="Z5" s="82"/>
      <c r="AA5" s="82"/>
      <c r="AB5" s="82"/>
      <c r="AC5" s="82"/>
      <c r="AD5" s="84"/>
      <c r="AE5" s="84"/>
      <c r="AF5" s="84"/>
      <c r="AG5" s="84"/>
      <c r="AH5" s="84"/>
      <c r="AI5" s="84"/>
      <c r="AJ5" s="85"/>
    </row>
    <row r="6" spans="1:36" s="73" customFormat="1" ht="36" x14ac:dyDescent="0.25">
      <c r="A6" s="67" t="s">
        <v>218</v>
      </c>
      <c r="B6" s="67" t="s">
        <v>226</v>
      </c>
      <c r="C6" s="326" t="str">
        <f>'Table 3'!C6</f>
        <v>Rees Road: Coburns Road (PSP boundary) to East West Arterial (IT01) 
Construction of a 2-lane arterial road (interim layout). 
Purchase of land to increase reserve width from 20m to 34m (ultimate).</v>
      </c>
      <c r="D6" s="378">
        <f>'Table 3'!D6</f>
        <v>228722</v>
      </c>
      <c r="E6" s="378">
        <f>'Table 3'!E6</f>
        <v>848383</v>
      </c>
      <c r="F6" s="378">
        <f>D6+E6</f>
        <v>1077105</v>
      </c>
      <c r="G6" s="379">
        <v>0</v>
      </c>
      <c r="H6" s="379">
        <v>1</v>
      </c>
      <c r="I6" s="378">
        <f>F6*H6</f>
        <v>1077105</v>
      </c>
      <c r="J6" s="67" t="s">
        <v>538</v>
      </c>
      <c r="K6" s="67" t="s">
        <v>537</v>
      </c>
      <c r="L6" s="380">
        <f>'Tables 2'!AA182</f>
        <v>1537.57</v>
      </c>
      <c r="M6" s="381">
        <f>I6/L6</f>
        <v>700.52420377608826</v>
      </c>
      <c r="N6" s="382"/>
      <c r="O6" s="67" t="str">
        <f>'Table 3'!K6</f>
        <v>Land partially acquired
Road constructed</v>
      </c>
      <c r="P6" s="67" t="s">
        <v>626</v>
      </c>
      <c r="Q6" s="67" t="str">
        <f>'Table 3'!N6</f>
        <v>Project name and description updated to conform with contemporary naming and description conventions</v>
      </c>
      <c r="R6" s="67" t="str">
        <f>'Table 3'!P6</f>
        <v>Toolern PSP Road and Intersection Project Cost Sheets, 
Cardno, March 2022</v>
      </c>
      <c r="S6" s="67"/>
      <c r="T6" s="67"/>
      <c r="U6" s="382"/>
      <c r="V6" s="67"/>
      <c r="W6" s="249"/>
    </row>
    <row r="7" spans="1:36" s="66" customFormat="1" ht="24" x14ac:dyDescent="0.2">
      <c r="A7" s="67" t="s">
        <v>222</v>
      </c>
      <c r="B7" s="67" t="s">
        <v>226</v>
      </c>
      <c r="C7" s="326" t="str">
        <f>'Table 3'!C7</f>
        <v>Rees Road: Coburns Road (PSP boundary) to East West Arterial (IT01)
Offset cost estimate associated with removal of scattered trees for RD01.</v>
      </c>
      <c r="D7" s="378">
        <f>'Table 3'!D7</f>
        <v>0</v>
      </c>
      <c r="E7" s="378">
        <f>'Table 3'!E7</f>
        <v>15479</v>
      </c>
      <c r="F7" s="378">
        <f t="shared" ref="F7:F40" si="0">D7+E7</f>
        <v>15479</v>
      </c>
      <c r="G7" s="379">
        <v>0</v>
      </c>
      <c r="H7" s="379">
        <v>1</v>
      </c>
      <c r="I7" s="378">
        <f t="shared" ref="I7:I20" si="1">F7*H7</f>
        <v>15479</v>
      </c>
      <c r="J7" s="67" t="s">
        <v>538</v>
      </c>
      <c r="K7" s="67" t="s">
        <v>537</v>
      </c>
      <c r="L7" s="380">
        <f>L6</f>
        <v>1537.57</v>
      </c>
      <c r="M7" s="381">
        <f t="shared" ref="M7:M43" si="2">I7/L7</f>
        <v>10.067183933089225</v>
      </c>
      <c r="N7" s="382"/>
      <c r="O7" s="67" t="str">
        <f>'Table 3'!K7</f>
        <v>Land partially acquired
Road constructed</v>
      </c>
      <c r="P7" s="67" t="s">
        <v>626</v>
      </c>
      <c r="Q7" s="67" t="str">
        <f>'Table 3'!N7</f>
        <v>Project name and description updated to conform with contemporary naming and description conventions</v>
      </c>
      <c r="R7" s="67" t="str">
        <f>'Table 3'!P7</f>
        <v>Toolern PSP Road and Intersection Project Cost Sheets, 
Cardno, March 2022</v>
      </c>
      <c r="S7" s="67"/>
      <c r="T7" s="67"/>
      <c r="U7" s="382"/>
      <c r="V7" s="67"/>
      <c r="W7" s="249"/>
    </row>
    <row r="8" spans="1:36" s="66" customFormat="1" ht="36" x14ac:dyDescent="0.2">
      <c r="A8" s="67" t="s">
        <v>224</v>
      </c>
      <c r="B8" s="67" t="s">
        <v>226</v>
      </c>
      <c r="C8" s="326" t="str">
        <f>'Table 3'!C8</f>
        <v xml:space="preserve">East West Arterial: Rees Road (IT01) to Exford Road (IT02)
Construction of a 2-lane arterial road (interim standard) 
Purchase of land to increase reserve width from 0m to 34m (ultimate). </v>
      </c>
      <c r="D8" s="378">
        <f>'Table 3'!D8</f>
        <v>1600000</v>
      </c>
      <c r="E8" s="378">
        <f>'Table 3'!E8</f>
        <v>4496855</v>
      </c>
      <c r="F8" s="378">
        <f t="shared" si="0"/>
        <v>6096855</v>
      </c>
      <c r="G8" s="379">
        <v>0</v>
      </c>
      <c r="H8" s="379">
        <v>1</v>
      </c>
      <c r="I8" s="378">
        <f t="shared" si="1"/>
        <v>6096855</v>
      </c>
      <c r="J8" s="67" t="s">
        <v>376</v>
      </c>
      <c r="K8" s="67" t="s">
        <v>537</v>
      </c>
      <c r="L8" s="380">
        <f t="shared" ref="L8:L43" si="3">L7</f>
        <v>1537.57</v>
      </c>
      <c r="M8" s="381">
        <f t="shared" si="2"/>
        <v>3965.2536144695855</v>
      </c>
      <c r="N8" s="382"/>
      <c r="O8" s="67" t="str">
        <f>'Table 3'!K8</f>
        <v>Land acquired</v>
      </c>
      <c r="P8" s="67" t="s">
        <v>626</v>
      </c>
      <c r="Q8" s="67" t="str">
        <f>'Table 3'!N8</f>
        <v>Project name and description updated to conform with contemporary naming and description conventions</v>
      </c>
      <c r="R8" s="67" t="str">
        <f>'Table 3'!P8</f>
        <v>Toolern PSP Road and Intersection Project Cost Sheets, 
Cardno, March 2022</v>
      </c>
      <c r="S8" s="67"/>
      <c r="T8" s="67"/>
      <c r="U8" s="382"/>
      <c r="V8" s="67"/>
      <c r="W8" s="249"/>
    </row>
    <row r="9" spans="1:36" s="66" customFormat="1" ht="36" x14ac:dyDescent="0.2">
      <c r="A9" s="67" t="s">
        <v>225</v>
      </c>
      <c r="B9" s="67" t="s">
        <v>226</v>
      </c>
      <c r="C9" s="326" t="str">
        <f>'Table 3'!C9</f>
        <v xml:space="preserve">Exford Road: East West Arterial (IT02) to Exford Road (IT03)
Re-construct existing 2-lane road to provide 2-lane arterial road (interim layout). 
Purchase land to increase reserve width from 20m to 34m (ultimate). </v>
      </c>
      <c r="D9" s="378">
        <f>'Table 3'!D9</f>
        <v>600000</v>
      </c>
      <c r="E9" s="378">
        <f>'Table 3'!E9</f>
        <v>1954992</v>
      </c>
      <c r="F9" s="378">
        <f t="shared" si="0"/>
        <v>2554992</v>
      </c>
      <c r="G9" s="379">
        <v>0</v>
      </c>
      <c r="H9" s="379">
        <v>1</v>
      </c>
      <c r="I9" s="378">
        <f t="shared" si="1"/>
        <v>2554992</v>
      </c>
      <c r="J9" s="67" t="s">
        <v>376</v>
      </c>
      <c r="K9" s="67" t="s">
        <v>537</v>
      </c>
      <c r="L9" s="380">
        <f t="shared" si="3"/>
        <v>1537.57</v>
      </c>
      <c r="M9" s="381">
        <f t="shared" si="2"/>
        <v>1661.7077596467154</v>
      </c>
      <c r="N9" s="382"/>
      <c r="O9" s="67" t="str">
        <f>'Table 3'!K9</f>
        <v>Land partially acquired
Road partially constructed</v>
      </c>
      <c r="P9" s="67" t="s">
        <v>626</v>
      </c>
      <c r="Q9" s="67" t="str">
        <f>'Table 3'!N9</f>
        <v>Project name and description updated to conform with contemporary naming and description conventions</v>
      </c>
      <c r="R9" s="67" t="str">
        <f>'Table 3'!P9</f>
        <v>Toolern PSP Road and Intersection Project Cost Sheets, 
Cardno, March 2022</v>
      </c>
      <c r="S9" s="67"/>
      <c r="T9" s="67"/>
      <c r="U9" s="382"/>
      <c r="V9" s="67"/>
      <c r="W9" s="249"/>
    </row>
    <row r="10" spans="1:36" s="66" customFormat="1" ht="24" x14ac:dyDescent="0.2">
      <c r="A10" s="67" t="s">
        <v>230</v>
      </c>
      <c r="B10" s="67" t="s">
        <v>226</v>
      </c>
      <c r="C10" s="326" t="str">
        <f>'Table 3'!C10</f>
        <v xml:space="preserve">Exford Road: East West Arterial (IT02) to Toolern Road (IT03)
Offset cost estimate associated with removal of scattered trees for RD03. </v>
      </c>
      <c r="D10" s="378">
        <f>'Table 3'!D10</f>
        <v>0</v>
      </c>
      <c r="E10" s="378">
        <f>'Table 3'!E10</f>
        <v>7938</v>
      </c>
      <c r="F10" s="378">
        <f t="shared" si="0"/>
        <v>7938</v>
      </c>
      <c r="G10" s="379">
        <v>0</v>
      </c>
      <c r="H10" s="379">
        <v>1</v>
      </c>
      <c r="I10" s="378">
        <f t="shared" si="1"/>
        <v>7938</v>
      </c>
      <c r="J10" s="67" t="s">
        <v>376</v>
      </c>
      <c r="K10" s="67" t="s">
        <v>537</v>
      </c>
      <c r="L10" s="380">
        <f t="shared" si="3"/>
        <v>1537.57</v>
      </c>
      <c r="M10" s="381">
        <f t="shared" si="2"/>
        <v>5.162691779886444</v>
      </c>
      <c r="N10" s="382"/>
      <c r="O10" s="67" t="str">
        <f>'Table 3'!K10</f>
        <v>Land partially acquired
Road partially constructed</v>
      </c>
      <c r="P10" s="67" t="s">
        <v>626</v>
      </c>
      <c r="Q10" s="67" t="str">
        <f>'Table 3'!N10</f>
        <v>Project name and description updated to conform with contemporary naming and description conventions</v>
      </c>
      <c r="R10" s="67" t="str">
        <f>'Table 3'!P10</f>
        <v>Toolern PSP Road and Intersection Project Cost Sheets, 
Cardno, March 2022</v>
      </c>
      <c r="S10" s="67"/>
      <c r="T10" s="67"/>
      <c r="U10" s="382"/>
      <c r="V10" s="67"/>
      <c r="W10" s="249"/>
    </row>
    <row r="11" spans="1:36" s="66" customFormat="1" ht="36" x14ac:dyDescent="0.2">
      <c r="A11" s="67" t="s">
        <v>231</v>
      </c>
      <c r="B11" s="67" t="s">
        <v>226</v>
      </c>
      <c r="C11" s="326" t="str">
        <f>'Table 3'!C11</f>
        <v xml:space="preserve">Exford Road: Exford Road (IT03) to Greigs Road (IT04)
Construction of a 2-lane arterial road (interim layout). 
Purchase land to increase reserve width from 20m to 34m (ultimate).  </v>
      </c>
      <c r="D11" s="378">
        <f>'Table 3'!D11</f>
        <v>2395000</v>
      </c>
      <c r="E11" s="378">
        <f>'Table 3'!E11</f>
        <v>13092554</v>
      </c>
      <c r="F11" s="378">
        <f t="shared" si="0"/>
        <v>15487554</v>
      </c>
      <c r="G11" s="379">
        <v>0</v>
      </c>
      <c r="H11" s="379">
        <v>1</v>
      </c>
      <c r="I11" s="378">
        <f t="shared" si="1"/>
        <v>15487554</v>
      </c>
      <c r="J11" s="67" t="s">
        <v>376</v>
      </c>
      <c r="K11" s="67" t="s">
        <v>537</v>
      </c>
      <c r="L11" s="380">
        <f t="shared" si="3"/>
        <v>1537.57</v>
      </c>
      <c r="M11" s="381">
        <f t="shared" si="2"/>
        <v>10072.747257035453</v>
      </c>
      <c r="N11" s="382"/>
      <c r="O11" s="67" t="str">
        <f>'Table 3'!K11</f>
        <v>Land partially acquired
Road partially constructed</v>
      </c>
      <c r="P11" s="67" t="s">
        <v>626</v>
      </c>
      <c r="Q11" s="67" t="str">
        <f>'Table 3'!N11</f>
        <v>Project name and description updated to conform with contemporary naming and description conventions</v>
      </c>
      <c r="R11" s="67" t="str">
        <f>'Table 3'!P11</f>
        <v>Toolern PSP Road and Intersection Project Cost Sheets, 
Cardno, March 2022</v>
      </c>
      <c r="S11" s="67"/>
      <c r="T11" s="67"/>
      <c r="U11" s="382"/>
      <c r="V11" s="67"/>
      <c r="W11" s="249"/>
    </row>
    <row r="12" spans="1:36" s="66" customFormat="1" ht="24" x14ac:dyDescent="0.2">
      <c r="A12" s="67" t="s">
        <v>232</v>
      </c>
      <c r="B12" s="67" t="s">
        <v>226</v>
      </c>
      <c r="C12" s="326" t="str">
        <f>'Table 3'!C12</f>
        <v xml:space="preserve">Exford Road: Toolern Road (IT03) to Greigs Road (IT04)
Offset cost estimate associated with removal of scattered trees for RD04. </v>
      </c>
      <c r="D12" s="378">
        <f>'Table 3'!D12</f>
        <v>0</v>
      </c>
      <c r="E12" s="378">
        <f>'Table 3'!E12</f>
        <v>96841</v>
      </c>
      <c r="F12" s="378">
        <f t="shared" si="0"/>
        <v>96841</v>
      </c>
      <c r="G12" s="379">
        <v>0</v>
      </c>
      <c r="H12" s="379">
        <v>1</v>
      </c>
      <c r="I12" s="378">
        <f t="shared" si="1"/>
        <v>96841</v>
      </c>
      <c r="J12" s="67" t="s">
        <v>376</v>
      </c>
      <c r="K12" s="67" t="s">
        <v>537</v>
      </c>
      <c r="L12" s="380">
        <f t="shared" si="3"/>
        <v>1537.57</v>
      </c>
      <c r="M12" s="381">
        <f t="shared" si="2"/>
        <v>62.98314873469176</v>
      </c>
      <c r="N12" s="382"/>
      <c r="O12" s="67" t="str">
        <f>'Table 3'!K12</f>
        <v>Land partially acquired
Road partially constructed</v>
      </c>
      <c r="P12" s="67" t="s">
        <v>626</v>
      </c>
      <c r="Q12" s="67" t="str">
        <f>'Table 3'!N12</f>
        <v>Project name and description updated to conform with contemporary naming and description conventions</v>
      </c>
      <c r="R12" s="67" t="str">
        <f>'Table 3'!P12</f>
        <v>Toolern PSP Road and Intersection Project Cost Sheets, 
Cardno, March 2022</v>
      </c>
      <c r="S12" s="67"/>
      <c r="T12" s="67"/>
      <c r="U12" s="382"/>
      <c r="V12" s="67"/>
      <c r="W12" s="249"/>
    </row>
    <row r="13" spans="1:36" s="66" customFormat="1" ht="36" x14ac:dyDescent="0.2">
      <c r="A13" s="67" t="s">
        <v>233</v>
      </c>
      <c r="B13" s="67" t="s">
        <v>226</v>
      </c>
      <c r="C13" s="326" t="str">
        <f>'Table 3'!C13</f>
        <v xml:space="preserve">Exford Road: Exford Road (IT03) to Toolern Creek (BD03)
Construction of a 2-lane arterial road (interim layout). 
Purchase land to increase reserve width from 0m to 34m (ultimate). </v>
      </c>
      <c r="D13" s="378">
        <f>'Table 3'!D13</f>
        <v>1073016.8</v>
      </c>
      <c r="E13" s="378">
        <f>'Table 3'!E13</f>
        <v>641228</v>
      </c>
      <c r="F13" s="378">
        <f t="shared" si="0"/>
        <v>1714244.8</v>
      </c>
      <c r="G13" s="379">
        <v>0</v>
      </c>
      <c r="H13" s="379">
        <v>1</v>
      </c>
      <c r="I13" s="378">
        <f t="shared" si="1"/>
        <v>1714244.8</v>
      </c>
      <c r="J13" s="67" t="s">
        <v>376</v>
      </c>
      <c r="K13" s="67" t="s">
        <v>537</v>
      </c>
      <c r="L13" s="380">
        <f t="shared" si="3"/>
        <v>1537.57</v>
      </c>
      <c r="M13" s="381">
        <f t="shared" si="2"/>
        <v>1114.9052075677855</v>
      </c>
      <c r="N13" s="382"/>
      <c r="O13" s="67" t="str">
        <f>'Table 3'!K13</f>
        <v>Land partially acquired</v>
      </c>
      <c r="P13" s="67" t="s">
        <v>626</v>
      </c>
      <c r="Q13" s="67" t="str">
        <f>'Table 3'!N13</f>
        <v>Project name and description updated to conform with contemporary naming and description conventions</v>
      </c>
      <c r="R13" s="67" t="str">
        <f>'Table 3'!P13</f>
        <v>Toolern PSP Road and Intersection Project Cost Sheets, 
Cardno, March 2022</v>
      </c>
      <c r="S13" s="67"/>
      <c r="T13" s="67"/>
      <c r="U13" s="382"/>
      <c r="V13" s="67"/>
      <c r="W13" s="249"/>
    </row>
    <row r="14" spans="1:36" s="66" customFormat="1" ht="24" x14ac:dyDescent="0.2">
      <c r="A14" s="67" t="s">
        <v>234</v>
      </c>
      <c r="B14" s="67" t="s">
        <v>226</v>
      </c>
      <c r="C14" s="326" t="str">
        <f>'Table 3'!C14</f>
        <v xml:space="preserve">Exford Road: Exford Road (IT03) to Toolern Creek (BD03)
Offset cost estimate associated with removal of EVC for RD05. </v>
      </c>
      <c r="D14" s="378">
        <f>'Table 3'!D14</f>
        <v>0</v>
      </c>
      <c r="E14" s="378">
        <f>'Table 3'!E14</f>
        <v>144308</v>
      </c>
      <c r="F14" s="378">
        <f t="shared" si="0"/>
        <v>144308</v>
      </c>
      <c r="G14" s="379">
        <v>0</v>
      </c>
      <c r="H14" s="379">
        <v>1</v>
      </c>
      <c r="I14" s="378">
        <f t="shared" si="1"/>
        <v>144308</v>
      </c>
      <c r="J14" s="67" t="s">
        <v>376</v>
      </c>
      <c r="K14" s="67" t="s">
        <v>537</v>
      </c>
      <c r="L14" s="380">
        <f t="shared" si="3"/>
        <v>1537.57</v>
      </c>
      <c r="M14" s="381">
        <f t="shared" si="2"/>
        <v>93.854588734171458</v>
      </c>
      <c r="N14" s="382"/>
      <c r="O14" s="67" t="str">
        <f>'Table 3'!K14</f>
        <v>Land partially acquired</v>
      </c>
      <c r="P14" s="67" t="s">
        <v>626</v>
      </c>
      <c r="Q14" s="67" t="str">
        <f>'Table 3'!N14</f>
        <v>Project name and description updated to conform with contemporary naming and description conventions</v>
      </c>
      <c r="R14" s="67" t="str">
        <f>'Table 3'!P14</f>
        <v>Toolern PSP Road and Intersection Project Cost Sheets, 
Cardno, March 2022</v>
      </c>
      <c r="S14" s="67"/>
      <c r="T14" s="67"/>
      <c r="U14" s="382"/>
      <c r="V14" s="67"/>
      <c r="W14" s="249"/>
    </row>
    <row r="15" spans="1:36" s="66" customFormat="1" ht="36" x14ac:dyDescent="0.2">
      <c r="A15" s="67" t="s">
        <v>235</v>
      </c>
      <c r="B15" s="67" t="s">
        <v>226</v>
      </c>
      <c r="C15" s="326" t="str">
        <f>'Table 3'!C15</f>
        <v xml:space="preserve">Exford Road: Toolern Creek (BD03) to Ferris Road (IT05)
Construction of a 2-lane arterial road (interim layout). 
Create road reserve 34m (ultimate).  </v>
      </c>
      <c r="D15" s="378">
        <f>'Table 3'!D15</f>
        <v>1125000</v>
      </c>
      <c r="E15" s="378">
        <f>'Table 3'!E15</f>
        <v>6751787</v>
      </c>
      <c r="F15" s="378">
        <f t="shared" si="0"/>
        <v>7876787</v>
      </c>
      <c r="G15" s="379">
        <v>0</v>
      </c>
      <c r="H15" s="379">
        <v>1</v>
      </c>
      <c r="I15" s="378">
        <f t="shared" si="1"/>
        <v>7876787</v>
      </c>
      <c r="J15" s="67" t="s">
        <v>376</v>
      </c>
      <c r="K15" s="67" t="s">
        <v>537</v>
      </c>
      <c r="L15" s="380">
        <f t="shared" si="3"/>
        <v>1537.57</v>
      </c>
      <c r="M15" s="381">
        <f t="shared" si="2"/>
        <v>5122.8802591101548</v>
      </c>
      <c r="N15" s="382"/>
      <c r="O15" s="67" t="str">
        <f>'Table 3'!K15</f>
        <v>Not commenced</v>
      </c>
      <c r="P15" s="67" t="s">
        <v>626</v>
      </c>
      <c r="Q15" s="67" t="str">
        <f>'Table 3'!N15</f>
        <v>Project name and description updated to conform with contemporary naming and description conventions</v>
      </c>
      <c r="R15" s="67" t="str">
        <f>'Table 3'!P15</f>
        <v>Toolern PSP Road and Intersection Project Cost Sheets, 
Cardno, March 2022</v>
      </c>
      <c r="S15" s="67"/>
      <c r="T15" s="67"/>
      <c r="U15" s="382"/>
      <c r="V15" s="67"/>
      <c r="W15" s="249"/>
    </row>
    <row r="16" spans="1:36" s="66" customFormat="1" ht="24" x14ac:dyDescent="0.2">
      <c r="A16" s="67" t="s">
        <v>236</v>
      </c>
      <c r="B16" s="67" t="s">
        <v>226</v>
      </c>
      <c r="C16" s="326" t="str">
        <f>'Table 3'!C16</f>
        <v xml:space="preserve">Exford Road: Toolern Creek (BD03) to Ferris Road (IT05)
Offset cost estimate associated with removal of scattered trees for RD06. </v>
      </c>
      <c r="D16" s="378">
        <f>'Table 3'!D16</f>
        <v>0</v>
      </c>
      <c r="E16" s="378">
        <f>'Table 3'!E16</f>
        <v>3175</v>
      </c>
      <c r="F16" s="378">
        <f t="shared" si="0"/>
        <v>3175</v>
      </c>
      <c r="G16" s="379">
        <v>0</v>
      </c>
      <c r="H16" s="379">
        <v>1</v>
      </c>
      <c r="I16" s="378">
        <f t="shared" si="1"/>
        <v>3175</v>
      </c>
      <c r="J16" s="67" t="s">
        <v>376</v>
      </c>
      <c r="K16" s="67" t="s">
        <v>537</v>
      </c>
      <c r="L16" s="380">
        <f t="shared" si="3"/>
        <v>1537.57</v>
      </c>
      <c r="M16" s="381">
        <f t="shared" si="2"/>
        <v>2.0649466365758959</v>
      </c>
      <c r="N16" s="382"/>
      <c r="O16" s="67" t="str">
        <f>'Table 3'!K16</f>
        <v>Not commenced</v>
      </c>
      <c r="P16" s="67" t="s">
        <v>626</v>
      </c>
      <c r="Q16" s="67" t="str">
        <f>'Table 3'!N16</f>
        <v>Project name and description updated to conform with contemporary naming and description conventions</v>
      </c>
      <c r="R16" s="67" t="str">
        <f>'Table 3'!P16</f>
        <v>Toolern PSP Road and Intersection Project Cost Sheets, 
Cardno, March 2022</v>
      </c>
      <c r="S16" s="67"/>
      <c r="T16" s="67"/>
      <c r="U16" s="382"/>
      <c r="V16" s="67"/>
      <c r="W16" s="249"/>
    </row>
    <row r="17" spans="1:23" s="66" customFormat="1" ht="36" x14ac:dyDescent="0.2">
      <c r="A17" s="67" t="s">
        <v>237</v>
      </c>
      <c r="B17" s="67" t="s">
        <v>226</v>
      </c>
      <c r="C17" s="326" t="str">
        <f>'Table 3'!C17</f>
        <v xml:space="preserve">Exford Road: Ferris Road (IT05) to Mount Cottrell Road (IT06) 
Construction of a 2-lane arterial road. (interim layout).
Purchase land to increase reserve width from 0m to 34m (ultimate). </v>
      </c>
      <c r="D17" s="378">
        <f>'Table 3'!D17</f>
        <v>3175000</v>
      </c>
      <c r="E17" s="378">
        <f>'Table 3'!E17</f>
        <v>5615593</v>
      </c>
      <c r="F17" s="378">
        <f t="shared" si="0"/>
        <v>8790593</v>
      </c>
      <c r="G17" s="379">
        <v>0</v>
      </c>
      <c r="H17" s="379">
        <v>1</v>
      </c>
      <c r="I17" s="378">
        <f t="shared" si="1"/>
        <v>8790593</v>
      </c>
      <c r="J17" s="67" t="s">
        <v>376</v>
      </c>
      <c r="K17" s="67" t="s">
        <v>537</v>
      </c>
      <c r="L17" s="380">
        <f t="shared" si="3"/>
        <v>1537.57</v>
      </c>
      <c r="M17" s="381">
        <f t="shared" si="2"/>
        <v>5717.1985665693273</v>
      </c>
      <c r="N17" s="382"/>
      <c r="O17" s="67" t="str">
        <f>'Table 3'!K17</f>
        <v>Not commenced</v>
      </c>
      <c r="P17" s="67" t="s">
        <v>626</v>
      </c>
      <c r="Q17" s="67" t="str">
        <f>'Table 3'!N17</f>
        <v>Project name and description updated to conform with contemporary naming and description conventions</v>
      </c>
      <c r="R17" s="67" t="str">
        <f>'Table 3'!P17</f>
        <v>Toolern PSP Road and Intersection Project Cost Sheets, 
Cardno, March 2022</v>
      </c>
      <c r="S17" s="67"/>
      <c r="T17" s="67"/>
      <c r="U17" s="382"/>
      <c r="V17" s="67"/>
      <c r="W17" s="249"/>
    </row>
    <row r="18" spans="1:23" s="66" customFormat="1" ht="24" x14ac:dyDescent="0.2">
      <c r="A18" s="67" t="s">
        <v>238</v>
      </c>
      <c r="B18" s="67" t="s">
        <v>226</v>
      </c>
      <c r="C18" s="326" t="str">
        <f>'Table 3'!C18</f>
        <v xml:space="preserve">Exford Road: Ferris Road (IT05) to Mount Cottrell Road (IT06) 
Offset cost estimate associated with removal of EVC for RD07. </v>
      </c>
      <c r="D18" s="378">
        <f>'Table 3'!D18</f>
        <v>0</v>
      </c>
      <c r="E18" s="378">
        <f>'Table 3'!E18</f>
        <v>25401</v>
      </c>
      <c r="F18" s="378">
        <f t="shared" si="0"/>
        <v>25401</v>
      </c>
      <c r="G18" s="379">
        <v>0</v>
      </c>
      <c r="H18" s="379">
        <v>1</v>
      </c>
      <c r="I18" s="378">
        <f t="shared" si="1"/>
        <v>25401</v>
      </c>
      <c r="J18" s="67" t="s">
        <v>376</v>
      </c>
      <c r="K18" s="67" t="s">
        <v>537</v>
      </c>
      <c r="L18" s="380">
        <f t="shared" si="3"/>
        <v>1537.57</v>
      </c>
      <c r="M18" s="381">
        <f t="shared" si="2"/>
        <v>16.520223469500575</v>
      </c>
      <c r="N18" s="382"/>
      <c r="O18" s="67" t="str">
        <f>'Table 3'!K18</f>
        <v>Not commenced</v>
      </c>
      <c r="P18" s="67" t="s">
        <v>626</v>
      </c>
      <c r="Q18" s="67" t="str">
        <f>'Table 3'!N18</f>
        <v>Project name and description updated to conform with contemporary naming and description conventions</v>
      </c>
      <c r="R18" s="67" t="str">
        <f>'Table 3'!P18</f>
        <v>Toolern PSP Road and Intersection Project Cost Sheets, 
Cardno, March 2022</v>
      </c>
      <c r="S18" s="67"/>
      <c r="T18" s="67"/>
      <c r="U18" s="382"/>
      <c r="V18" s="67"/>
      <c r="W18" s="249"/>
    </row>
    <row r="19" spans="1:23" s="66" customFormat="1" ht="36" x14ac:dyDescent="0.2">
      <c r="A19" s="67" t="s">
        <v>239</v>
      </c>
      <c r="B19" s="67" t="s">
        <v>226</v>
      </c>
      <c r="C19" s="326" t="str">
        <f>'Table 3'!C19</f>
        <v xml:space="preserve">Exford Road: Mount Cottrell Road (IT06) to Paynes Road (IT07)
Construction of a 2-lane arterial road (interim layout). 
Purchase land to increase reserve width to 0m to 45m (ultimate).  </v>
      </c>
      <c r="D19" s="378">
        <f>'Table 3'!D19</f>
        <v>5175000</v>
      </c>
      <c r="E19" s="378">
        <f>'Table 3'!E19</f>
        <v>7114863</v>
      </c>
      <c r="F19" s="378">
        <f t="shared" si="0"/>
        <v>12289863</v>
      </c>
      <c r="G19" s="379">
        <v>0</v>
      </c>
      <c r="H19" s="379">
        <v>1</v>
      </c>
      <c r="I19" s="378">
        <f t="shared" si="1"/>
        <v>12289863</v>
      </c>
      <c r="J19" s="67" t="s">
        <v>376</v>
      </c>
      <c r="K19" s="67" t="s">
        <v>537</v>
      </c>
      <c r="L19" s="380">
        <f t="shared" si="3"/>
        <v>1537.57</v>
      </c>
      <c r="M19" s="381">
        <f t="shared" si="2"/>
        <v>7993.0429183711967</v>
      </c>
      <c r="N19" s="382"/>
      <c r="O19" s="67" t="str">
        <f>'Table 3'!K19</f>
        <v>Not commenced</v>
      </c>
      <c r="P19" s="67" t="s">
        <v>626</v>
      </c>
      <c r="Q19" s="67" t="str">
        <f>'Table 3'!N19</f>
        <v>Project name and description updated to conform with contemporary naming and description conventions</v>
      </c>
      <c r="R19" s="67" t="str">
        <f>'Table 3'!P19</f>
        <v>Toolern PSP Road and Intersection Project Cost Sheets, 
Cardno, March 2022</v>
      </c>
      <c r="S19" s="67"/>
      <c r="T19" s="67"/>
      <c r="U19" s="382"/>
      <c r="V19" s="67"/>
      <c r="W19" s="249"/>
    </row>
    <row r="20" spans="1:23" s="66" customFormat="1" ht="24" x14ac:dyDescent="0.2">
      <c r="A20" s="67" t="s">
        <v>240</v>
      </c>
      <c r="B20" s="67" t="s">
        <v>226</v>
      </c>
      <c r="C20" s="326" t="str">
        <f>'Table 3'!C20</f>
        <v xml:space="preserve">Exford Road: Mount Cottrell Road (IT06) to Paynes Road (IT07)
Offset cost estimate associated with removal of EVC for RD08. </v>
      </c>
      <c r="D20" s="378">
        <f>'Table 3'!D20</f>
        <v>0</v>
      </c>
      <c r="E20" s="378">
        <f>'Table 3'!E20</f>
        <v>73107</v>
      </c>
      <c r="F20" s="378">
        <f t="shared" si="0"/>
        <v>73107</v>
      </c>
      <c r="G20" s="379">
        <v>0</v>
      </c>
      <c r="H20" s="379">
        <v>1</v>
      </c>
      <c r="I20" s="378">
        <f t="shared" si="1"/>
        <v>73107</v>
      </c>
      <c r="J20" s="67" t="s">
        <v>376</v>
      </c>
      <c r="K20" s="67" t="s">
        <v>537</v>
      </c>
      <c r="L20" s="380">
        <f t="shared" si="3"/>
        <v>1537.57</v>
      </c>
      <c r="M20" s="381">
        <f t="shared" si="2"/>
        <v>47.547103546505198</v>
      </c>
      <c r="N20" s="382"/>
      <c r="O20" s="67" t="str">
        <f>'Table 3'!K20</f>
        <v>Not commenced</v>
      </c>
      <c r="P20" s="67" t="s">
        <v>626</v>
      </c>
      <c r="Q20" s="67" t="str">
        <f>'Table 3'!N20</f>
        <v>Project name and description updated to conform with contemporary naming and description conventions</v>
      </c>
      <c r="R20" s="67" t="str">
        <f>'Table 3'!P20</f>
        <v>Toolern PSP Road and Intersection Project Cost Sheets, 
Cardno, March 2022</v>
      </c>
      <c r="S20" s="67"/>
      <c r="T20" s="67"/>
      <c r="U20" s="382"/>
      <c r="V20" s="67"/>
      <c r="W20" s="249"/>
    </row>
    <row r="21" spans="1:23" s="66" customFormat="1" ht="24" x14ac:dyDescent="0.2">
      <c r="A21" s="67" t="s">
        <v>241</v>
      </c>
      <c r="B21" s="67" t="s">
        <v>226</v>
      </c>
      <c r="C21" s="326" t="str">
        <f>'Table 3'!C21</f>
        <v>Removed</v>
      </c>
      <c r="D21" s="378">
        <f>'Table 3'!D21</f>
        <v>0</v>
      </c>
      <c r="E21" s="378">
        <f>'Table 3'!E21</f>
        <v>0</v>
      </c>
      <c r="F21" s="378">
        <f t="shared" si="0"/>
        <v>0</v>
      </c>
      <c r="G21" s="379">
        <v>0</v>
      </c>
      <c r="H21" s="379">
        <v>1</v>
      </c>
      <c r="I21" s="378">
        <f t="shared" ref="I21:I22" si="4">F21-(F21*G21)</f>
        <v>0</v>
      </c>
      <c r="J21" s="67"/>
      <c r="K21" s="67"/>
      <c r="L21" s="380">
        <f t="shared" si="3"/>
        <v>1537.57</v>
      </c>
      <c r="M21" s="381">
        <f t="shared" si="2"/>
        <v>0</v>
      </c>
      <c r="N21" s="382"/>
      <c r="O21" s="67" t="str">
        <f>'Table 3'!K21</f>
        <v>Project deleted as it is located in the Rockbank South PSP area</v>
      </c>
      <c r="P21" s="67" t="s">
        <v>626</v>
      </c>
      <c r="Q21" s="67"/>
      <c r="R21" s="67"/>
      <c r="S21" s="67"/>
      <c r="T21" s="67"/>
      <c r="U21" s="382"/>
      <c r="V21" s="67"/>
      <c r="W21" s="249"/>
    </row>
    <row r="22" spans="1:23" s="66" customFormat="1" ht="24" x14ac:dyDescent="0.2">
      <c r="A22" s="67" t="s">
        <v>242</v>
      </c>
      <c r="B22" s="67" t="s">
        <v>226</v>
      </c>
      <c r="C22" s="326" t="str">
        <f>'Table 3'!C22</f>
        <v>Removed</v>
      </c>
      <c r="D22" s="378">
        <f>'Table 3'!D22</f>
        <v>0</v>
      </c>
      <c r="E22" s="378">
        <f>'Table 3'!E22</f>
        <v>0</v>
      </c>
      <c r="F22" s="378">
        <f t="shared" si="0"/>
        <v>0</v>
      </c>
      <c r="G22" s="379">
        <v>0</v>
      </c>
      <c r="H22" s="379">
        <v>1</v>
      </c>
      <c r="I22" s="378">
        <f t="shared" si="4"/>
        <v>0</v>
      </c>
      <c r="J22" s="67"/>
      <c r="K22" s="67"/>
      <c r="L22" s="380">
        <f t="shared" si="3"/>
        <v>1537.57</v>
      </c>
      <c r="M22" s="381">
        <f t="shared" si="2"/>
        <v>0</v>
      </c>
      <c r="N22" s="382"/>
      <c r="O22" s="67" t="str">
        <f>'Table 3'!K22</f>
        <v>Project deleted as it is located in the Rockbank South PSP area</v>
      </c>
      <c r="P22" s="67" t="s">
        <v>626</v>
      </c>
      <c r="Q22" s="67"/>
      <c r="R22" s="67"/>
      <c r="S22" s="67"/>
      <c r="T22" s="67"/>
      <c r="U22" s="382"/>
      <c r="V22" s="67"/>
      <c r="W22" s="249"/>
    </row>
    <row r="23" spans="1:23" s="66" customFormat="1" ht="48" x14ac:dyDescent="0.2">
      <c r="A23" s="67" t="s">
        <v>243</v>
      </c>
      <c r="B23" s="67" t="s">
        <v>226</v>
      </c>
      <c r="C23" s="326" t="str">
        <f>'Table 3'!C23</f>
        <v xml:space="preserve">Mount Cottrell Road: Melbourne Ballarat Rail Line to PSP southern boundary
Construction of a 2-lane arterial road (interim layout).
Purchase land (including native vegetation re-alignment) to increase reserve width from 20m to 41m (ultimate).  </v>
      </c>
      <c r="D23" s="378">
        <f>'Table 3'!D23</f>
        <v>1997500</v>
      </c>
      <c r="E23" s="378">
        <f>'Table 3'!E23</f>
        <v>9307858</v>
      </c>
      <c r="F23" s="378">
        <f t="shared" si="0"/>
        <v>11305358</v>
      </c>
      <c r="G23" s="379">
        <v>0</v>
      </c>
      <c r="H23" s="379">
        <v>1</v>
      </c>
      <c r="I23" s="378">
        <f>F23*H23</f>
        <v>11305358</v>
      </c>
      <c r="J23" s="67" t="s">
        <v>376</v>
      </c>
      <c r="K23" s="67" t="s">
        <v>537</v>
      </c>
      <c r="L23" s="380">
        <f>L22</f>
        <v>1537.57</v>
      </c>
      <c r="M23" s="381">
        <f t="shared" si="2"/>
        <v>7352.7436149248497</v>
      </c>
      <c r="N23" s="382"/>
      <c r="O23" s="67" t="str">
        <f>'Table 3'!K23</f>
        <v>Land partially acquired
Road partially constructed (north of IT26)</v>
      </c>
      <c r="P23" s="67" t="s">
        <v>626</v>
      </c>
      <c r="Q23" s="67" t="str">
        <f>'Table 3'!N23</f>
        <v>Project name and description updated to conform with contemporary naming and description conventions</v>
      </c>
      <c r="R23" s="67" t="str">
        <f>'Table 3'!P23</f>
        <v>Toolern PSP Road and Intersection Project Cost Sheets, 
Cardno, March 2022</v>
      </c>
      <c r="S23" s="67"/>
      <c r="T23" s="67"/>
      <c r="U23" s="382"/>
      <c r="V23" s="67"/>
      <c r="W23" s="249"/>
    </row>
    <row r="24" spans="1:23" s="66" customFormat="1" ht="24" x14ac:dyDescent="0.2">
      <c r="A24" s="67" t="s">
        <v>244</v>
      </c>
      <c r="B24" s="67" t="s">
        <v>226</v>
      </c>
      <c r="C24" s="326" t="str">
        <f>'Table 3'!C24</f>
        <v xml:space="preserve">Mount Cottrell Road: Melbourne Ballarat Rail Line to PSP southern  boundary
Offset cost estimate associated with removal of scattered trees for RD11. </v>
      </c>
      <c r="D24" s="378">
        <f>'Table 3'!D24</f>
        <v>0</v>
      </c>
      <c r="E24" s="378">
        <f>'Table 3'!E24</f>
        <v>18058</v>
      </c>
      <c r="F24" s="378">
        <f t="shared" si="0"/>
        <v>18058</v>
      </c>
      <c r="G24" s="379">
        <v>0</v>
      </c>
      <c r="H24" s="379">
        <v>1</v>
      </c>
      <c r="I24" s="378">
        <f t="shared" ref="I24:I43" si="5">F24*H24</f>
        <v>18058</v>
      </c>
      <c r="J24" s="67" t="s">
        <v>376</v>
      </c>
      <c r="K24" s="67" t="s">
        <v>537</v>
      </c>
      <c r="L24" s="380">
        <f t="shared" si="3"/>
        <v>1537.57</v>
      </c>
      <c r="M24" s="381">
        <f t="shared" si="2"/>
        <v>11.744505941192921</v>
      </c>
      <c r="N24" s="382"/>
      <c r="O24" s="67" t="str">
        <f>'Table 3'!K24</f>
        <v>Land partially acquired
Road partially constructed (north of IT26)</v>
      </c>
      <c r="P24" s="67" t="s">
        <v>626</v>
      </c>
      <c r="Q24" s="67" t="str">
        <f>'Table 3'!N24</f>
        <v>Project name and description updated to conform with contemporary naming and description conventions</v>
      </c>
      <c r="R24" s="67" t="str">
        <f>'Table 3'!P24</f>
        <v>Toolern PSP Road and Intersection Project Cost Sheets, 
Cardno, March 2022</v>
      </c>
      <c r="S24" s="67"/>
      <c r="T24" s="67"/>
      <c r="U24" s="382"/>
      <c r="V24" s="67"/>
      <c r="W24" s="249"/>
    </row>
    <row r="25" spans="1:23" s="66" customFormat="1" ht="24" x14ac:dyDescent="0.2">
      <c r="A25" s="67" t="s">
        <v>245</v>
      </c>
      <c r="B25" s="67" t="s">
        <v>226</v>
      </c>
      <c r="C25" s="326" t="str">
        <f>'Table 3'!C25</f>
        <v xml:space="preserve">Mount Cottrell Road: Melbourne Ballarat Rail Line to PSP southern  boundary
Offset cost estimate associated with removal of EVC for RD11. </v>
      </c>
      <c r="D25" s="378">
        <f>'Table 3'!D25</f>
        <v>0</v>
      </c>
      <c r="E25" s="378">
        <f>'Table 3'!E25</f>
        <v>5239</v>
      </c>
      <c r="F25" s="378">
        <f t="shared" si="0"/>
        <v>5239</v>
      </c>
      <c r="G25" s="379">
        <v>0</v>
      </c>
      <c r="H25" s="379">
        <v>1</v>
      </c>
      <c r="I25" s="378">
        <f t="shared" si="5"/>
        <v>5239</v>
      </c>
      <c r="J25" s="67" t="s">
        <v>376</v>
      </c>
      <c r="K25" s="67" t="s">
        <v>537</v>
      </c>
      <c r="L25" s="380">
        <f t="shared" si="3"/>
        <v>1537.57</v>
      </c>
      <c r="M25" s="381">
        <f t="shared" si="2"/>
        <v>3.4073245445735805</v>
      </c>
      <c r="N25" s="382"/>
      <c r="O25" s="67" t="str">
        <f>'Table 3'!K25</f>
        <v>Land partially acquired
Road partially constructed (north of IT26)</v>
      </c>
      <c r="P25" s="67" t="s">
        <v>626</v>
      </c>
      <c r="Q25" s="67" t="str">
        <f>'Table 3'!N25</f>
        <v>Project name and description updated to conform with contemporary naming and description conventions</v>
      </c>
      <c r="R25" s="67" t="str">
        <f>'Table 3'!P25</f>
        <v>Toolern PSP Road and Intersection Project Cost Sheets, 
Cardno, March 2022</v>
      </c>
      <c r="S25" s="67"/>
      <c r="T25" s="67"/>
      <c r="U25" s="382"/>
      <c r="V25" s="67"/>
      <c r="W25" s="249"/>
    </row>
    <row r="26" spans="1:23" s="66" customFormat="1" ht="48" x14ac:dyDescent="0.2">
      <c r="A26" s="67" t="s">
        <v>246</v>
      </c>
      <c r="B26" s="67" t="s">
        <v>226</v>
      </c>
      <c r="C26" s="326" t="str">
        <f>'Table 3'!C26</f>
        <v xml:space="preserve">Mount Cottrell Road: Western Freeway to Melbourne Ballarat Rail Line
Construction of a 2-lane arterial road (interim layout).
Purchase land (including native vegetation re-alignment) to increase reserve width from 20m to 41m (ultimate). </v>
      </c>
      <c r="D26" s="378">
        <f>'Table 3'!D26</f>
        <v>450000</v>
      </c>
      <c r="E26" s="378">
        <f>'Table 3'!E26</f>
        <v>7918239.5599999996</v>
      </c>
      <c r="F26" s="378">
        <f t="shared" si="0"/>
        <v>8368239.5599999996</v>
      </c>
      <c r="G26" s="379">
        <v>0.5</v>
      </c>
      <c r="H26" s="379">
        <v>0.5</v>
      </c>
      <c r="I26" s="378">
        <f>D26+(E26*H26)</f>
        <v>4409119.7799999993</v>
      </c>
      <c r="J26" s="67" t="s">
        <v>376</v>
      </c>
      <c r="K26" s="67" t="s">
        <v>537</v>
      </c>
      <c r="L26" s="380">
        <f t="shared" si="3"/>
        <v>1537.57</v>
      </c>
      <c r="M26" s="381">
        <f t="shared" si="2"/>
        <v>2867.5896251877962</v>
      </c>
      <c r="N26" s="382"/>
      <c r="O26" s="67" t="str">
        <f>'Table 3'!K26</f>
        <v>Constructed</v>
      </c>
      <c r="P26" s="67" t="s">
        <v>626</v>
      </c>
      <c r="Q26" s="67" t="str">
        <f>'Table 3'!N26</f>
        <v>Project name and description updated to conform with contemporary naming and description conventions</v>
      </c>
      <c r="R26" s="67" t="str">
        <f>'Table 3'!P26</f>
        <v>Constructed
Paynes Road DCP, Urban Enterprise, December 2020</v>
      </c>
      <c r="S26" s="67"/>
      <c r="T26" s="67" t="s">
        <v>656</v>
      </c>
      <c r="U26" s="382"/>
      <c r="V26" s="249">
        <f>E26/2</f>
        <v>3959119.78</v>
      </c>
      <c r="W26" s="249"/>
    </row>
    <row r="27" spans="1:23" s="66" customFormat="1" x14ac:dyDescent="0.2">
      <c r="A27" s="67" t="s">
        <v>727</v>
      </c>
      <c r="B27" s="67"/>
      <c r="C27" s="326" t="str">
        <f>'Table 3'!C27</f>
        <v>Skipped Project - There is no RD13 in the Toolern DCP</v>
      </c>
      <c r="D27" s="378"/>
      <c r="E27" s="378"/>
      <c r="F27" s="378"/>
      <c r="G27" s="379"/>
      <c r="H27" s="379"/>
      <c r="I27" s="378"/>
      <c r="J27" s="67"/>
      <c r="K27" s="67"/>
      <c r="L27" s="380"/>
      <c r="M27" s="381"/>
      <c r="N27" s="382"/>
      <c r="O27" s="67" t="str">
        <f>'Table 3'!K27</f>
        <v>This project was skipped in the Toolern DCP</v>
      </c>
      <c r="P27" s="67"/>
      <c r="Q27" s="67"/>
      <c r="R27" s="67"/>
      <c r="S27" s="67"/>
      <c r="T27" s="67"/>
      <c r="U27" s="382"/>
      <c r="V27" s="67"/>
      <c r="W27" s="249"/>
    </row>
    <row r="28" spans="1:23" s="66" customFormat="1" ht="36" x14ac:dyDescent="0.2">
      <c r="A28" s="67" t="s">
        <v>247</v>
      </c>
      <c r="B28" s="67" t="s">
        <v>226</v>
      </c>
      <c r="C28" s="326" t="str">
        <f>'Table 3'!C28</f>
        <v xml:space="preserve">Shogaki Drive: Ferris Road (IT13) to Industrial Connector Road (IT12)
Construction of a 2-lane arterial road (interim layout). 
Purchase land to increase reserve width from 40m to 45m (ultimate). </v>
      </c>
      <c r="D28" s="378">
        <f>'Table 3'!D28</f>
        <v>275000</v>
      </c>
      <c r="E28" s="378">
        <f>'Table 3'!E28</f>
        <v>5071142</v>
      </c>
      <c r="F28" s="378">
        <f t="shared" si="0"/>
        <v>5346142</v>
      </c>
      <c r="G28" s="379">
        <v>0</v>
      </c>
      <c r="H28" s="379">
        <v>1</v>
      </c>
      <c r="I28" s="378">
        <f t="shared" si="5"/>
        <v>5346142</v>
      </c>
      <c r="J28" s="67" t="s">
        <v>376</v>
      </c>
      <c r="K28" s="67" t="s">
        <v>537</v>
      </c>
      <c r="L28" s="380">
        <f>L26</f>
        <v>1537.57</v>
      </c>
      <c r="M28" s="381">
        <f t="shared" si="2"/>
        <v>3477.0072256872859</v>
      </c>
      <c r="N28" s="382"/>
      <c r="O28" s="67" t="str">
        <f>'Table 3'!K28</f>
        <v>Not commenced</v>
      </c>
      <c r="P28" s="67" t="s">
        <v>626</v>
      </c>
      <c r="Q28" s="67" t="str">
        <f>'Table 3'!N28</f>
        <v>Project name and description updated to conform with contemporary naming and description conventions</v>
      </c>
      <c r="R28" s="67" t="str">
        <f>'Table 3'!P28</f>
        <v>Toolern PSP Road and Intersection Project Cost Sheets, 
Cardno, March 2022</v>
      </c>
      <c r="S28" s="67"/>
      <c r="T28" s="67"/>
      <c r="U28" s="382"/>
      <c r="V28" s="67"/>
      <c r="W28" s="249"/>
    </row>
    <row r="29" spans="1:23" s="66" customFormat="1" ht="48" x14ac:dyDescent="0.2">
      <c r="A29" s="67" t="s">
        <v>248</v>
      </c>
      <c r="B29" s="67" t="s">
        <v>226</v>
      </c>
      <c r="C29" s="326" t="str">
        <f>'Table 3'!C29</f>
        <v xml:space="preserve">Ferris Road: Western Freeway to Shogaki Drive (IT13) 
Construction of additional lane in either direction to existing 4-lane divided road to provide ultimate 6-lane divided arterial road (ultimate layout). 
Purchase land to increase reserve width from 34m to 45m (ultimate).  </v>
      </c>
      <c r="D29" s="378">
        <f>'Table 3'!D29</f>
        <v>750000</v>
      </c>
      <c r="E29" s="378">
        <f>'Table 3'!E29</f>
        <v>4731581</v>
      </c>
      <c r="F29" s="378">
        <f t="shared" si="0"/>
        <v>5481581</v>
      </c>
      <c r="G29" s="379">
        <v>0</v>
      </c>
      <c r="H29" s="379">
        <v>1</v>
      </c>
      <c r="I29" s="378">
        <f t="shared" si="5"/>
        <v>5481581</v>
      </c>
      <c r="J29" s="67" t="s">
        <v>376</v>
      </c>
      <c r="K29" s="67" t="s">
        <v>537</v>
      </c>
      <c r="L29" s="380">
        <f t="shared" si="3"/>
        <v>1537.57</v>
      </c>
      <c r="M29" s="381">
        <f t="shared" si="2"/>
        <v>3565.0936217538065</v>
      </c>
      <c r="N29" s="382"/>
      <c r="O29" s="67" t="str">
        <f>'Table 3'!K29</f>
        <v>Not commenced</v>
      </c>
      <c r="P29" s="67" t="s">
        <v>626</v>
      </c>
      <c r="Q29" s="67" t="str">
        <f>'Table 3'!N29</f>
        <v>Project name and description updated to conform with contemporary naming and description conventions</v>
      </c>
      <c r="R29" s="67" t="str">
        <f>'Table 3'!P29</f>
        <v>Toolern PSP Road and Intersection Project Cost Sheets, 
Cardno, March 2022</v>
      </c>
      <c r="S29" s="67"/>
      <c r="T29" s="67"/>
      <c r="U29" s="382"/>
      <c r="V29" s="67"/>
      <c r="W29" s="249"/>
    </row>
    <row r="30" spans="1:23" s="66" customFormat="1" ht="36" x14ac:dyDescent="0.2">
      <c r="A30" s="67" t="s">
        <v>249</v>
      </c>
      <c r="B30" s="67" t="s">
        <v>226</v>
      </c>
      <c r="C30" s="326" t="str">
        <f>'Table 3'!C30</f>
        <v xml:space="preserve">Ferris Road: Abey Road (IT13) to Melbourne Ballarat Rail Line
Construction of a 2-lane arterial road (interim layout). 
Purchase land to increase reserve width from 34m to 38m (ultimate). </v>
      </c>
      <c r="D30" s="378">
        <f>'Table 3'!D30</f>
        <v>25000</v>
      </c>
      <c r="E30" s="378">
        <f>'Table 3'!E30</f>
        <v>665655</v>
      </c>
      <c r="F30" s="378">
        <f t="shared" si="0"/>
        <v>690655</v>
      </c>
      <c r="G30" s="379">
        <v>0</v>
      </c>
      <c r="H30" s="379">
        <v>1</v>
      </c>
      <c r="I30" s="378">
        <f t="shared" si="5"/>
        <v>690655</v>
      </c>
      <c r="J30" s="67" t="s">
        <v>376</v>
      </c>
      <c r="K30" s="67" t="s">
        <v>537</v>
      </c>
      <c r="L30" s="380">
        <f t="shared" si="3"/>
        <v>1537.57</v>
      </c>
      <c r="M30" s="381">
        <f t="shared" si="2"/>
        <v>449.18605331789774</v>
      </c>
      <c r="N30" s="382"/>
      <c r="O30" s="67" t="str">
        <f>'Table 3'!K30</f>
        <v>Not commenced</v>
      </c>
      <c r="P30" s="67" t="s">
        <v>626</v>
      </c>
      <c r="Q30" s="67" t="str">
        <f>'Table 3'!N30</f>
        <v>Project name and description updated to conform with contemporary naming and description conventions</v>
      </c>
      <c r="R30" s="67" t="str">
        <f>'Table 3'!P30</f>
        <v>Toolern PSP Road and Intersection Project Cost Sheets, 
Cardno, March 2022</v>
      </c>
      <c r="S30" s="67"/>
      <c r="T30" s="67"/>
      <c r="U30" s="382"/>
      <c r="V30" s="67"/>
      <c r="W30" s="249"/>
    </row>
    <row r="31" spans="1:23" s="66" customFormat="1" ht="24" x14ac:dyDescent="0.2">
      <c r="A31" s="67" t="s">
        <v>250</v>
      </c>
      <c r="B31" s="67" t="s">
        <v>226</v>
      </c>
      <c r="C31" s="326" t="str">
        <f>'Table 3'!C31</f>
        <v xml:space="preserve">Ferris Road: Melbourne Ballarat Rail Line to Exford Road (IT05)
Construction of a 2-lane arterial road (interim layout). </v>
      </c>
      <c r="D31" s="378">
        <f>'Table 3'!D31</f>
        <v>0</v>
      </c>
      <c r="E31" s="378">
        <f>'Table 3'!E31</f>
        <v>10180594</v>
      </c>
      <c r="F31" s="378">
        <f t="shared" si="0"/>
        <v>10180594</v>
      </c>
      <c r="G31" s="379">
        <v>0</v>
      </c>
      <c r="H31" s="379">
        <v>1</v>
      </c>
      <c r="I31" s="378">
        <f t="shared" si="5"/>
        <v>10180594</v>
      </c>
      <c r="J31" s="67" t="s">
        <v>376</v>
      </c>
      <c r="K31" s="67" t="s">
        <v>537</v>
      </c>
      <c r="L31" s="380">
        <f t="shared" si="3"/>
        <v>1537.57</v>
      </c>
      <c r="M31" s="381">
        <f t="shared" si="2"/>
        <v>6621.2230987857465</v>
      </c>
      <c r="N31" s="382"/>
      <c r="O31" s="67" t="str">
        <f>'Table 3'!K31</f>
        <v>Partially constructed (Railway Line to Alfred Road)
Under construction (Alfred Road to Exford Road)</v>
      </c>
      <c r="P31" s="67" t="s">
        <v>626</v>
      </c>
      <c r="Q31" s="67" t="str">
        <f>'Table 3'!N31</f>
        <v>Project name and description updated to conform with contemporary naming and description conventions</v>
      </c>
      <c r="R31" s="67" t="str">
        <f>'Table 3'!P31</f>
        <v>Toolern PSP Road and Intersection Project Cost Sheets, 
Cardno, March 2022</v>
      </c>
      <c r="S31" s="67"/>
      <c r="T31" s="67"/>
      <c r="U31" s="382"/>
      <c r="V31" s="67"/>
      <c r="W31" s="249"/>
    </row>
    <row r="32" spans="1:23" s="66" customFormat="1" ht="24" x14ac:dyDescent="0.2">
      <c r="A32" s="67" t="s">
        <v>251</v>
      </c>
      <c r="B32" s="67" t="s">
        <v>226</v>
      </c>
      <c r="C32" s="326" t="str">
        <f>'Table 3'!C32</f>
        <v xml:space="preserve">Ferris Road: Melbourne Ballarat Rail Line to Exford Road (IT05)
Offset cost estimate associated with removal of scattered trees for RD17. </v>
      </c>
      <c r="D32" s="378">
        <f>'Table 3'!D32</f>
        <v>0</v>
      </c>
      <c r="E32" s="378">
        <f>'Table 3'!E32</f>
        <v>3175</v>
      </c>
      <c r="F32" s="378">
        <f t="shared" si="0"/>
        <v>3175</v>
      </c>
      <c r="G32" s="379">
        <v>0</v>
      </c>
      <c r="H32" s="379">
        <v>1</v>
      </c>
      <c r="I32" s="378">
        <f t="shared" si="5"/>
        <v>3175</v>
      </c>
      <c r="J32" s="67" t="s">
        <v>376</v>
      </c>
      <c r="K32" s="67" t="s">
        <v>537</v>
      </c>
      <c r="L32" s="380">
        <f t="shared" si="3"/>
        <v>1537.57</v>
      </c>
      <c r="M32" s="381">
        <f t="shared" si="2"/>
        <v>2.0649466365758959</v>
      </c>
      <c r="N32" s="382"/>
      <c r="O32" s="67" t="str">
        <f>'Table 3'!K32</f>
        <v>Partially constructed (Railway Line to Alfred Road)
Under construction (Alfred Road to Exford Road)</v>
      </c>
      <c r="P32" s="67" t="s">
        <v>626</v>
      </c>
      <c r="Q32" s="67" t="str">
        <f>'Table 3'!N32</f>
        <v>Project name and description updated to conform with contemporary naming and description conventions</v>
      </c>
      <c r="R32" s="67" t="str">
        <f>'Table 3'!P32</f>
        <v>Toolern PSP Road and Intersection Project Cost Sheets, 
Cardno, March 2022</v>
      </c>
      <c r="S32" s="67"/>
      <c r="T32" s="67"/>
      <c r="U32" s="382"/>
      <c r="V32" s="67"/>
      <c r="W32" s="249"/>
    </row>
    <row r="33" spans="1:36" s="66" customFormat="1" ht="36" x14ac:dyDescent="0.2">
      <c r="A33" s="67" t="s">
        <v>252</v>
      </c>
      <c r="B33" s="67" t="s">
        <v>226</v>
      </c>
      <c r="C33" s="326" t="str">
        <f>'Table 3'!C33</f>
        <v xml:space="preserve">Abey Road: Toolern Creek (BD01) to Ferris Road (IT13) 
Construction of a 2-lane arterial road (interim layout).
Purchase land to increase reserve with from 19m to 38m (ultimate).  </v>
      </c>
      <c r="D33" s="378">
        <f>'Table 3'!D33</f>
        <v>362143.17</v>
      </c>
      <c r="E33" s="378">
        <f>'Table 3'!E33</f>
        <v>10180593.73</v>
      </c>
      <c r="F33" s="378">
        <f t="shared" si="0"/>
        <v>10542736.9</v>
      </c>
      <c r="G33" s="379">
        <v>0</v>
      </c>
      <c r="H33" s="379">
        <v>1</v>
      </c>
      <c r="I33" s="378">
        <f t="shared" si="5"/>
        <v>10542736.9</v>
      </c>
      <c r="J33" s="67" t="s">
        <v>376</v>
      </c>
      <c r="K33" s="67" t="s">
        <v>537</v>
      </c>
      <c r="L33" s="380">
        <f t="shared" si="3"/>
        <v>1537.57</v>
      </c>
      <c r="M33" s="381">
        <f t="shared" si="2"/>
        <v>6856.7524730581381</v>
      </c>
      <c r="N33" s="382"/>
      <c r="O33" s="67" t="str">
        <f>'Table 3'!K33</f>
        <v>Constructed</v>
      </c>
      <c r="P33" s="67" t="s">
        <v>626</v>
      </c>
      <c r="Q33" s="67" t="str">
        <f>'Table 3'!N33</f>
        <v>Project name and description updated to conform with contemporary naming and description conventions</v>
      </c>
      <c r="R33" s="67" t="str">
        <f>'Table 3'!P33</f>
        <v>Constructed
Toolern Development Contributions Plan, VPA
Indexed to $2021</v>
      </c>
      <c r="S33" s="67"/>
      <c r="T33" s="67"/>
      <c r="U33" s="382"/>
      <c r="V33" s="67"/>
      <c r="W33" s="249"/>
    </row>
    <row r="34" spans="1:36" s="66" customFormat="1" ht="36" x14ac:dyDescent="0.2">
      <c r="A34" s="67" t="s">
        <v>253</v>
      </c>
      <c r="B34" s="67" t="s">
        <v>226</v>
      </c>
      <c r="C34" s="326" t="str">
        <f>'Table 3'!C34</f>
        <v xml:space="preserve">Abey Road: Toolern Creek (BD01) to Ferris Road (IT13) 
Offset cost estimate associated with removal of scattered trees for RD18. </v>
      </c>
      <c r="D34" s="378">
        <f>'Table 3'!D34</f>
        <v>0</v>
      </c>
      <c r="E34" s="378">
        <f>'Table 3'!E34</f>
        <v>537.12</v>
      </c>
      <c r="F34" s="378">
        <f t="shared" si="0"/>
        <v>537.12</v>
      </c>
      <c r="G34" s="379">
        <v>0</v>
      </c>
      <c r="H34" s="379">
        <v>1</v>
      </c>
      <c r="I34" s="378">
        <f t="shared" si="5"/>
        <v>537.12</v>
      </c>
      <c r="J34" s="67" t="s">
        <v>376</v>
      </c>
      <c r="K34" s="67" t="s">
        <v>537</v>
      </c>
      <c r="L34" s="380">
        <f t="shared" si="3"/>
        <v>1537.57</v>
      </c>
      <c r="M34" s="381">
        <f t="shared" si="2"/>
        <v>0.34933043698823468</v>
      </c>
      <c r="N34" s="382"/>
      <c r="O34" s="67" t="str">
        <f>'Table 3'!K34</f>
        <v>Constructed</v>
      </c>
      <c r="P34" s="67" t="s">
        <v>626</v>
      </c>
      <c r="Q34" s="67" t="str">
        <f>'Table 3'!N34</f>
        <v>Project name and description updated to conform with contemporary naming and description conventions</v>
      </c>
      <c r="R34" s="67" t="str">
        <f>'Table 3'!P34</f>
        <v>Constructed
Toolern Development Contributions Plan, VPA
Indexed to $2021</v>
      </c>
      <c r="S34" s="67"/>
      <c r="T34" s="67"/>
      <c r="U34" s="382"/>
      <c r="V34" s="67"/>
      <c r="W34" s="249"/>
    </row>
    <row r="35" spans="1:36" s="66" customFormat="1" ht="36" x14ac:dyDescent="0.2">
      <c r="A35" s="67" t="s">
        <v>254</v>
      </c>
      <c r="B35" s="67" t="s">
        <v>226</v>
      </c>
      <c r="C35" s="326" t="str">
        <f>'Table 3'!C35</f>
        <v xml:space="preserve">Abey Road: Toolern Creek (BD01) to Ferris Road (IT13) 
Offset cost estimate associated with removal of EVC for RD18. </v>
      </c>
      <c r="D35" s="378">
        <f>'Table 3'!D35</f>
        <v>0</v>
      </c>
      <c r="E35" s="378">
        <f>'Table 3'!E35</f>
        <v>44231.92</v>
      </c>
      <c r="F35" s="378">
        <f t="shared" si="0"/>
        <v>44231.92</v>
      </c>
      <c r="G35" s="379">
        <v>0</v>
      </c>
      <c r="H35" s="379">
        <v>1</v>
      </c>
      <c r="I35" s="378">
        <f t="shared" si="5"/>
        <v>44231.92</v>
      </c>
      <c r="J35" s="67" t="s">
        <v>376</v>
      </c>
      <c r="K35" s="67" t="s">
        <v>537</v>
      </c>
      <c r="L35" s="380">
        <f t="shared" si="3"/>
        <v>1537.57</v>
      </c>
      <c r="M35" s="381">
        <f t="shared" si="2"/>
        <v>28.767418719147745</v>
      </c>
      <c r="N35" s="382"/>
      <c r="O35" s="67" t="str">
        <f>'Table 3'!K35</f>
        <v>Constructed</v>
      </c>
      <c r="P35" s="67" t="s">
        <v>626</v>
      </c>
      <c r="Q35" s="67" t="str">
        <f>'Table 3'!N35</f>
        <v>Project name and description updated to conform with contemporary naming and description conventions</v>
      </c>
      <c r="R35" s="67" t="str">
        <f>'Table 3'!P35</f>
        <v>Constructed
Toolern Development Contributions Plan, VPA
Indexed to $2021</v>
      </c>
      <c r="S35" s="67"/>
      <c r="T35" s="67"/>
      <c r="U35" s="382"/>
      <c r="V35" s="67"/>
      <c r="W35" s="249"/>
    </row>
    <row r="36" spans="1:36" s="66" customFormat="1" ht="36" x14ac:dyDescent="0.2">
      <c r="A36" s="67" t="s">
        <v>255</v>
      </c>
      <c r="B36" s="67" t="s">
        <v>226</v>
      </c>
      <c r="C36" s="326" t="str">
        <f>'Table 3'!C36</f>
        <v xml:space="preserve">Shogaki Drive: Industrial Connector Road (IT12) to Mount Cottrell Road (IT10)
Construction of a 2-lane arterial road (interim layout). 
Purchase land to increase reserve width from 0m to 45m (ultimate). </v>
      </c>
      <c r="D36" s="378">
        <f>'Table 3'!D36</f>
        <v>1925000</v>
      </c>
      <c r="E36" s="378">
        <f>'Table 3'!E36</f>
        <v>4433597</v>
      </c>
      <c r="F36" s="378">
        <f t="shared" si="0"/>
        <v>6358597</v>
      </c>
      <c r="G36" s="379">
        <v>0</v>
      </c>
      <c r="H36" s="379">
        <v>1</v>
      </c>
      <c r="I36" s="378">
        <f t="shared" si="5"/>
        <v>6358597</v>
      </c>
      <c r="J36" s="67" t="s">
        <v>376</v>
      </c>
      <c r="K36" s="67" t="s">
        <v>537</v>
      </c>
      <c r="L36" s="380">
        <f t="shared" si="3"/>
        <v>1537.57</v>
      </c>
      <c r="M36" s="381">
        <f t="shared" si="2"/>
        <v>4135.4845633044351</v>
      </c>
      <c r="N36" s="382"/>
      <c r="O36" s="67" t="str">
        <f>'Table 3'!K36</f>
        <v>Not commenced</v>
      </c>
      <c r="P36" s="67" t="s">
        <v>626</v>
      </c>
      <c r="Q36" s="67" t="str">
        <f>'Table 3'!N36</f>
        <v>Project name and description updated to conform with contemporary naming and description conventions</v>
      </c>
      <c r="R36" s="67" t="str">
        <f>'Table 3'!P36</f>
        <v>Toolern PSP Road and Intersection Project Cost Sheets, 
Cardno, March 2022</v>
      </c>
      <c r="S36" s="67"/>
      <c r="T36" s="67"/>
      <c r="U36" s="382"/>
      <c r="V36" s="67"/>
      <c r="W36" s="249"/>
    </row>
    <row r="37" spans="1:36" s="66" customFormat="1" ht="24" x14ac:dyDescent="0.2">
      <c r="A37" s="67" t="s">
        <v>256</v>
      </c>
      <c r="B37" s="67" t="s">
        <v>226</v>
      </c>
      <c r="C37" s="326" t="str">
        <f>'Table 3'!C37</f>
        <v xml:space="preserve">Shogaki Drive: Industrial Connector Road (IT12) to Mount Cottrell Road (IT10)
Offset cost estimate associated with removal of EVC for RD19. </v>
      </c>
      <c r="D37" s="378">
        <f>'Table 3'!D37</f>
        <v>0</v>
      </c>
      <c r="E37" s="378">
        <f>'Table 3'!E37</f>
        <v>15479</v>
      </c>
      <c r="F37" s="378">
        <f t="shared" si="0"/>
        <v>15479</v>
      </c>
      <c r="G37" s="379">
        <v>0</v>
      </c>
      <c r="H37" s="379">
        <v>1</v>
      </c>
      <c r="I37" s="378">
        <f t="shared" si="5"/>
        <v>15479</v>
      </c>
      <c r="J37" s="67" t="s">
        <v>376</v>
      </c>
      <c r="K37" s="67" t="s">
        <v>537</v>
      </c>
      <c r="L37" s="380">
        <f t="shared" si="3"/>
        <v>1537.57</v>
      </c>
      <c r="M37" s="381">
        <f t="shared" si="2"/>
        <v>10.067183933089225</v>
      </c>
      <c r="N37" s="382"/>
      <c r="O37" s="67" t="str">
        <f>'Table 3'!K37</f>
        <v>Not commenced</v>
      </c>
      <c r="P37" s="67" t="s">
        <v>626</v>
      </c>
      <c r="Q37" s="67" t="str">
        <f>'Table 3'!N37</f>
        <v>Project name and description updated to conform with contemporary naming and description conventions</v>
      </c>
      <c r="R37" s="67" t="str">
        <f>'Table 3'!P37</f>
        <v>Toolern PSP Road and Intersection Project Cost Sheets, 
Cardno, March 2022</v>
      </c>
      <c r="S37" s="67"/>
      <c r="T37" s="67"/>
      <c r="U37" s="382"/>
      <c r="V37" s="67"/>
      <c r="W37" s="249"/>
    </row>
    <row r="38" spans="1:36" s="66" customFormat="1" ht="24" x14ac:dyDescent="0.2">
      <c r="A38" s="67" t="s">
        <v>257</v>
      </c>
      <c r="B38" s="67" t="s">
        <v>226</v>
      </c>
      <c r="C38" s="326" t="str">
        <f>'Table 3'!C38</f>
        <v xml:space="preserve">Ferris Road: Melbourne Ballarat Rail Line to Exford Road (IT05)
Purchase land to increase reserve width from 20m to 38m, for road section on Property 30 only. </v>
      </c>
      <c r="D38" s="378">
        <f>'Table 3'!D38</f>
        <v>650000</v>
      </c>
      <c r="E38" s="378">
        <f>'Table 3'!E38</f>
        <v>0</v>
      </c>
      <c r="F38" s="378">
        <f t="shared" si="0"/>
        <v>650000</v>
      </c>
      <c r="G38" s="379">
        <v>0</v>
      </c>
      <c r="H38" s="379">
        <v>1</v>
      </c>
      <c r="I38" s="378">
        <f t="shared" si="5"/>
        <v>650000</v>
      </c>
      <c r="J38" s="67" t="s">
        <v>376</v>
      </c>
      <c r="K38" s="67" t="s">
        <v>537</v>
      </c>
      <c r="L38" s="380">
        <f t="shared" si="3"/>
        <v>1537.57</v>
      </c>
      <c r="M38" s="381">
        <f t="shared" si="2"/>
        <v>422.74498071632513</v>
      </c>
      <c r="N38" s="382"/>
      <c r="O38" s="67" t="str">
        <f>'Table 3'!K38</f>
        <v>Land acquired</v>
      </c>
      <c r="P38" s="67" t="s">
        <v>626</v>
      </c>
      <c r="Q38" s="67" t="str">
        <f>'Table 3'!N38</f>
        <v>Project name and description updated to conform with contemporary naming and description conventions</v>
      </c>
      <c r="R38" s="67" t="str">
        <f>'Table 3'!P38</f>
        <v>No construction - land project only</v>
      </c>
      <c r="S38" s="67"/>
      <c r="T38" s="67"/>
      <c r="U38" s="382"/>
      <c r="V38" s="67"/>
      <c r="W38" s="249"/>
    </row>
    <row r="39" spans="1:36" s="66" customFormat="1" ht="24" x14ac:dyDescent="0.2">
      <c r="A39" s="67" t="s">
        <v>258</v>
      </c>
      <c r="B39" s="67" t="s">
        <v>226</v>
      </c>
      <c r="C39" s="326" t="str">
        <f>'Table 3'!C39</f>
        <v xml:space="preserve">Ferris Road: Melbourne Ballarat Rail Line to Exford Road (IT05)
Offset cost estimate associated with removal of EVC for RD20. </v>
      </c>
      <c r="D39" s="378">
        <f>'Table 3'!D39</f>
        <v>0</v>
      </c>
      <c r="E39" s="378">
        <f>'Table 3'!E39</f>
        <v>725.11</v>
      </c>
      <c r="F39" s="378">
        <f t="shared" si="0"/>
        <v>725.11</v>
      </c>
      <c r="G39" s="379">
        <v>0</v>
      </c>
      <c r="H39" s="379">
        <v>1</v>
      </c>
      <c r="I39" s="378">
        <f t="shared" si="5"/>
        <v>725.11</v>
      </c>
      <c r="J39" s="67" t="s">
        <v>376</v>
      </c>
      <c r="K39" s="67" t="s">
        <v>537</v>
      </c>
      <c r="L39" s="380">
        <f t="shared" si="3"/>
        <v>1537.57</v>
      </c>
      <c r="M39" s="381">
        <f t="shared" si="2"/>
        <v>0.47159478918033004</v>
      </c>
      <c r="N39" s="382"/>
      <c r="O39" s="67" t="str">
        <f>'Table 3'!K39</f>
        <v>Land acquired</v>
      </c>
      <c r="P39" s="67" t="s">
        <v>626</v>
      </c>
      <c r="Q39" s="67" t="str">
        <f>'Table 3'!N39</f>
        <v>Project name and description updated to conform with contemporary naming and description conventions</v>
      </c>
      <c r="R39" s="67" t="str">
        <f>'Table 3'!P39</f>
        <v>Toolern PSP Road and Intersection Project Cost Sheets, 
Cardno, March 2022</v>
      </c>
      <c r="S39" s="67"/>
      <c r="T39" s="67"/>
      <c r="U39" s="382"/>
      <c r="V39" s="67"/>
      <c r="W39" s="249"/>
    </row>
    <row r="40" spans="1:36" s="66" customFormat="1" ht="36" x14ac:dyDescent="0.2">
      <c r="A40" s="67" t="s">
        <v>259</v>
      </c>
      <c r="B40" s="67" t="s">
        <v>226</v>
      </c>
      <c r="C40" s="326" t="str">
        <f>'Table 3'!C40</f>
        <v xml:space="preserve">Ferris Road: Melbourne Ballarat Rail Line to Exford Road (IT05)
Purchase land to increase reserve width from 20m to 38m, for balance of required land (excluding Property 30). </v>
      </c>
      <c r="D40" s="378">
        <f>'Table 3'!D40</f>
        <v>1925000</v>
      </c>
      <c r="E40" s="378">
        <f>'Table 3'!E40</f>
        <v>0</v>
      </c>
      <c r="F40" s="378">
        <f t="shared" si="0"/>
        <v>1925000</v>
      </c>
      <c r="G40" s="379">
        <v>0</v>
      </c>
      <c r="H40" s="379">
        <v>1</v>
      </c>
      <c r="I40" s="378">
        <f t="shared" si="5"/>
        <v>1925000</v>
      </c>
      <c r="J40" s="67" t="s">
        <v>376</v>
      </c>
      <c r="K40" s="67" t="s">
        <v>537</v>
      </c>
      <c r="L40" s="380">
        <f t="shared" si="3"/>
        <v>1537.57</v>
      </c>
      <c r="M40" s="381">
        <f t="shared" si="2"/>
        <v>1251.975519813732</v>
      </c>
      <c r="N40" s="382"/>
      <c r="O40" s="67" t="str">
        <f>'Table 3'!K40</f>
        <v>Not commenced</v>
      </c>
      <c r="P40" s="67" t="s">
        <v>626</v>
      </c>
      <c r="Q40" s="67" t="str">
        <f>'Table 3'!N40</f>
        <v>Project name and description updated to conform with contemporary naming and description conventions</v>
      </c>
      <c r="R40" s="67" t="str">
        <f>'Table 3'!P40</f>
        <v>No construction - land project only</v>
      </c>
      <c r="S40" s="67"/>
      <c r="T40" s="67"/>
      <c r="U40" s="382"/>
      <c r="V40" s="67"/>
      <c r="W40" s="249"/>
    </row>
    <row r="41" spans="1:36" s="66" customFormat="1" ht="36" x14ac:dyDescent="0.2">
      <c r="A41" s="67" t="s">
        <v>511</v>
      </c>
      <c r="B41" s="67" t="s">
        <v>226</v>
      </c>
      <c r="C41" s="326" t="str">
        <f>'Table 3'!C41</f>
        <v>Paynes Road: Alfred Road (IT30) to East-West Connector Road 1 (IT31)
Construction of a 2-lane arterial road (interim standard).</v>
      </c>
      <c r="D41" s="378">
        <f>'Table 3'!D41</f>
        <v>0</v>
      </c>
      <c r="E41" s="378">
        <f>'Table 3'!E41</f>
        <v>1398690.31</v>
      </c>
      <c r="F41" s="378">
        <f t="shared" ref="F41:F43" si="6">D41+E41</f>
        <v>1398690.31</v>
      </c>
      <c r="G41" s="379">
        <v>0.5</v>
      </c>
      <c r="H41" s="379">
        <v>0.5</v>
      </c>
      <c r="I41" s="378">
        <f t="shared" si="5"/>
        <v>699345.15500000003</v>
      </c>
      <c r="J41" s="67" t="s">
        <v>376</v>
      </c>
      <c r="K41" s="67" t="s">
        <v>537</v>
      </c>
      <c r="L41" s="380">
        <f t="shared" si="3"/>
        <v>1537.57</v>
      </c>
      <c r="M41" s="381">
        <f t="shared" si="2"/>
        <v>454.83792933004679</v>
      </c>
      <c r="N41" s="382"/>
      <c r="O41" s="67" t="str">
        <f>'Table 3'!K41</f>
        <v>New project from Rockbank DCP - RD06</v>
      </c>
      <c r="P41" s="67" t="s">
        <v>626</v>
      </c>
      <c r="Q41" s="67"/>
      <c r="R41" s="67" t="str">
        <f>'Table 3'!P41</f>
        <v>Rockbank Development Contributions Plan, VPA, August 2016
Indexed to $2021</v>
      </c>
      <c r="S41" s="67" t="str">
        <f>'Table 3'!O41</f>
        <v>Missing road project from the Rockbank Development Contributions Plan.</v>
      </c>
      <c r="T41" s="67" t="s">
        <v>655</v>
      </c>
      <c r="U41" s="382"/>
      <c r="V41" s="67"/>
      <c r="W41" s="249">
        <f>E41-I41</f>
        <v>699345.15500000003</v>
      </c>
    </row>
    <row r="42" spans="1:36" s="66" customFormat="1" ht="36" x14ac:dyDescent="0.2">
      <c r="A42" s="67" t="s">
        <v>512</v>
      </c>
      <c r="B42" s="67" t="s">
        <v>226</v>
      </c>
      <c r="C42" s="326" t="str">
        <f>'Table 3'!C42</f>
        <v>Paynes Road: East-West Connector Road 1 (IT31) to Exford Road (IT07)
Construction of a 2-lane arterial road (interim standard).</v>
      </c>
      <c r="D42" s="378">
        <f>'Table 3'!D42</f>
        <v>0</v>
      </c>
      <c r="E42" s="378">
        <f>'Table 3'!E42</f>
        <v>1791460.71</v>
      </c>
      <c r="F42" s="378">
        <f t="shared" si="6"/>
        <v>1791460.71</v>
      </c>
      <c r="G42" s="379">
        <v>0.5</v>
      </c>
      <c r="H42" s="379">
        <v>0.5</v>
      </c>
      <c r="I42" s="378">
        <f t="shared" si="5"/>
        <v>895730.35499999998</v>
      </c>
      <c r="J42" s="67" t="s">
        <v>376</v>
      </c>
      <c r="K42" s="67" t="s">
        <v>537</v>
      </c>
      <c r="L42" s="380">
        <f t="shared" si="3"/>
        <v>1537.57</v>
      </c>
      <c r="M42" s="381">
        <f t="shared" si="2"/>
        <v>582.56232561769548</v>
      </c>
      <c r="N42" s="382"/>
      <c r="O42" s="67" t="str">
        <f>'Table 3'!K42</f>
        <v>New project from Rockbank DCP - RD07</v>
      </c>
      <c r="P42" s="67" t="s">
        <v>626</v>
      </c>
      <c r="Q42" s="67"/>
      <c r="R42" s="67" t="str">
        <f>'Table 3'!P42</f>
        <v>Rockbank Development Contributions Plan, VPA, August 2016
Indexed to $2021</v>
      </c>
      <c r="S42" s="67" t="str">
        <f>'Table 3'!O42</f>
        <v>Missing road project from the Rockbank Development Contributions Plan.</v>
      </c>
      <c r="T42" s="67" t="s">
        <v>655</v>
      </c>
      <c r="U42" s="382"/>
      <c r="V42" s="67"/>
      <c r="W42" s="249">
        <f t="shared" ref="W42:W43" si="7">E42-I42</f>
        <v>895730.35499999998</v>
      </c>
    </row>
    <row r="43" spans="1:36" s="66" customFormat="1" ht="36" x14ac:dyDescent="0.2">
      <c r="A43" s="67" t="s">
        <v>513</v>
      </c>
      <c r="B43" s="67" t="s">
        <v>226</v>
      </c>
      <c r="C43" s="326" t="str">
        <f>'Table 3'!C43</f>
        <v>Paynes Road: Exford Road (IT07) to East-West Connector Road 2 (IT32)
Construction of a 2-lane arterial road (interim standard).</v>
      </c>
      <c r="D43" s="378">
        <f>'Table 3'!D43</f>
        <v>0</v>
      </c>
      <c r="E43" s="378">
        <f>'Table 3'!E43</f>
        <v>948155.29</v>
      </c>
      <c r="F43" s="378">
        <f t="shared" si="6"/>
        <v>948155.29</v>
      </c>
      <c r="G43" s="379">
        <v>0.5</v>
      </c>
      <c r="H43" s="379">
        <v>0.5</v>
      </c>
      <c r="I43" s="378">
        <f t="shared" si="5"/>
        <v>474077.64500000002</v>
      </c>
      <c r="J43" s="67" t="s">
        <v>376</v>
      </c>
      <c r="K43" s="67" t="s">
        <v>537</v>
      </c>
      <c r="L43" s="380">
        <f t="shared" si="3"/>
        <v>1537.57</v>
      </c>
      <c r="M43" s="381">
        <f t="shared" si="2"/>
        <v>308.32914599010127</v>
      </c>
      <c r="N43" s="382"/>
      <c r="O43" s="67" t="str">
        <f>'Table 3'!K43</f>
        <v>New project from Rockbank DCP - RD08</v>
      </c>
      <c r="P43" s="67" t="s">
        <v>626</v>
      </c>
      <c r="Q43" s="67"/>
      <c r="R43" s="67" t="str">
        <f>'Table 3'!P43</f>
        <v>Rockbank Development Contributions Plan, VPA, August 2016
Indexed to $2021</v>
      </c>
      <c r="S43" s="67" t="str">
        <f>'Table 3'!O43</f>
        <v>Missing road project from the Rockbank Development Contributions Plan.</v>
      </c>
      <c r="T43" s="67" t="s">
        <v>655</v>
      </c>
      <c r="U43" s="382"/>
      <c r="V43" s="67"/>
      <c r="W43" s="249">
        <f t="shared" si="7"/>
        <v>474077.64500000002</v>
      </c>
    </row>
    <row r="44" spans="1:36" s="64" customFormat="1" x14ac:dyDescent="0.2">
      <c r="A44" s="383" t="s">
        <v>14</v>
      </c>
      <c r="B44" s="383"/>
      <c r="C44" s="383"/>
      <c r="D44" s="384">
        <f>SUM(D6:D43)</f>
        <v>23731381.970000003</v>
      </c>
      <c r="E44" s="384">
        <f>SUM(E6:E43)</f>
        <v>97597515.750000015</v>
      </c>
      <c r="F44" s="384">
        <f>SUM(F6:F43)</f>
        <v>121328897.72000001</v>
      </c>
      <c r="G44" s="385"/>
      <c r="H44" s="385"/>
      <c r="I44" s="384">
        <f>SUM(I6:I43)</f>
        <v>115300624.78500001</v>
      </c>
      <c r="J44" s="236"/>
      <c r="K44" s="236"/>
      <c r="L44" s="383"/>
      <c r="M44" s="386"/>
      <c r="N44" s="391"/>
      <c r="O44" s="65"/>
      <c r="P44" s="65"/>
      <c r="Q44" s="65"/>
      <c r="R44" s="65"/>
      <c r="S44" s="65"/>
      <c r="T44" s="65"/>
      <c r="U44" s="383"/>
      <c r="V44" s="65"/>
      <c r="W44" s="252"/>
    </row>
    <row r="45" spans="1:36" s="86" customFormat="1" x14ac:dyDescent="0.2">
      <c r="A45" s="377" t="s">
        <v>260</v>
      </c>
      <c r="B45" s="82"/>
      <c r="C45" s="82"/>
      <c r="D45" s="313"/>
      <c r="E45" s="313"/>
      <c r="F45" s="313"/>
      <c r="G45" s="314"/>
      <c r="H45" s="314"/>
      <c r="I45" s="313"/>
      <c r="J45" s="82"/>
      <c r="K45" s="82"/>
      <c r="L45" s="82"/>
      <c r="M45" s="87"/>
      <c r="N45" s="476"/>
      <c r="O45" s="82"/>
      <c r="P45" s="82"/>
      <c r="Q45" s="82"/>
      <c r="R45" s="82"/>
      <c r="S45" s="82"/>
      <c r="T45" s="82"/>
      <c r="U45" s="248"/>
      <c r="V45" s="82"/>
      <c r="W45" s="251"/>
      <c r="X45" s="83"/>
      <c r="Y45" s="82"/>
      <c r="Z45" s="82"/>
      <c r="AA45" s="82"/>
      <c r="AB45" s="82"/>
      <c r="AC45" s="82"/>
      <c r="AD45" s="84"/>
      <c r="AE45" s="84"/>
      <c r="AF45" s="84"/>
      <c r="AG45" s="84"/>
      <c r="AH45" s="84"/>
      <c r="AI45" s="84"/>
      <c r="AJ45" s="85"/>
    </row>
    <row r="46" spans="1:36" s="66" customFormat="1" ht="24" x14ac:dyDescent="0.2">
      <c r="A46" s="67" t="s">
        <v>261</v>
      </c>
      <c r="B46" s="67" t="s">
        <v>226</v>
      </c>
      <c r="C46" s="326" t="str">
        <f>'Table 3'!C46</f>
        <v>Intersection: Rees Road and East West Arterial
Construction of signalised 4-way intersection (interim standard).</v>
      </c>
      <c r="D46" s="378">
        <f>'Table 3'!D46</f>
        <v>675000</v>
      </c>
      <c r="E46" s="378">
        <f>'Table 3'!E46</f>
        <v>4832428</v>
      </c>
      <c r="F46" s="378">
        <f>D46+E46</f>
        <v>5507428</v>
      </c>
      <c r="G46" s="379">
        <v>0</v>
      </c>
      <c r="H46" s="379">
        <v>1</v>
      </c>
      <c r="I46" s="378">
        <f>F46*H46</f>
        <v>5507428</v>
      </c>
      <c r="J46" s="67" t="s">
        <v>376</v>
      </c>
      <c r="K46" s="67" t="s">
        <v>377</v>
      </c>
      <c r="L46" s="380">
        <f>L40</f>
        <v>1537.57</v>
      </c>
      <c r="M46" s="381">
        <f>I46/L46</f>
        <v>3581.903913317768</v>
      </c>
      <c r="N46" s="382"/>
      <c r="O46" s="67" t="str">
        <f>'Table 3'!K46</f>
        <v>Not commenced</v>
      </c>
      <c r="P46" s="67" t="s">
        <v>626</v>
      </c>
      <c r="Q46" s="67" t="str">
        <f>'Table 3'!N46</f>
        <v>Project name and description updated to conform with contemporary naming and description conventions</v>
      </c>
      <c r="R46" s="67" t="str">
        <f>'Table 3'!P46</f>
        <v>Toolern PSP Road and Intersection Project Cost Sheets, 
Cardno, March 2022</v>
      </c>
      <c r="S46" s="67"/>
      <c r="T46" s="67"/>
      <c r="U46" s="382"/>
      <c r="V46" s="67"/>
      <c r="W46" s="249"/>
    </row>
    <row r="47" spans="1:36" s="66" customFormat="1" ht="24" x14ac:dyDescent="0.2">
      <c r="A47" s="67" t="s">
        <v>262</v>
      </c>
      <c r="B47" s="67" t="s">
        <v>226</v>
      </c>
      <c r="C47" s="326" t="str">
        <f>'Table 3'!C47</f>
        <v xml:space="preserve">Intersection: East West Arterial and Exford Road
Construction of signalised T-intersection (interim standard). </v>
      </c>
      <c r="D47" s="378">
        <f>'Table 3'!D47</f>
        <v>1010000</v>
      </c>
      <c r="E47" s="378">
        <f>'Table 3'!E47</f>
        <v>6003029</v>
      </c>
      <c r="F47" s="378">
        <f t="shared" ref="F47:F73" si="8">D47+E47</f>
        <v>7013029</v>
      </c>
      <c r="G47" s="379">
        <v>0</v>
      </c>
      <c r="H47" s="379">
        <v>1</v>
      </c>
      <c r="I47" s="378">
        <f t="shared" ref="I47:I52" si="9">F47*H47</f>
        <v>7013029</v>
      </c>
      <c r="J47" s="67" t="s">
        <v>376</v>
      </c>
      <c r="K47" s="67" t="s">
        <v>377</v>
      </c>
      <c r="L47" s="380">
        <f>L46</f>
        <v>1537.57</v>
      </c>
      <c r="M47" s="381">
        <f t="shared" ref="M47:M77" si="10">I47/L47</f>
        <v>4561.1120144123524</v>
      </c>
      <c r="N47" s="382"/>
      <c r="O47" s="67" t="str">
        <f>'Table 3'!K47</f>
        <v>Not commenced</v>
      </c>
      <c r="P47" s="67" t="s">
        <v>626</v>
      </c>
      <c r="Q47" s="67" t="str">
        <f>'Table 3'!N47</f>
        <v>Project name and description updated to conform with contemporary naming and description conventions</v>
      </c>
      <c r="R47" s="67" t="str">
        <f>'Table 3'!P47</f>
        <v>Toolern PSP Road and Intersection Project Cost Sheets, 
Cardno, March 2022</v>
      </c>
      <c r="S47" s="67"/>
      <c r="T47" s="67"/>
      <c r="U47" s="382"/>
      <c r="V47" s="67"/>
      <c r="W47" s="249"/>
    </row>
    <row r="48" spans="1:36" s="66" customFormat="1" ht="24" x14ac:dyDescent="0.2">
      <c r="A48" s="67" t="s">
        <v>263</v>
      </c>
      <c r="B48" s="67" t="s">
        <v>226</v>
      </c>
      <c r="C48" s="326" t="str">
        <f>'Table 3'!C48</f>
        <v>Intersection: Exford Road and Exford Road
Construction of signalised T-intersection (interim standard).</v>
      </c>
      <c r="D48" s="378">
        <f>'Table 3'!D48</f>
        <v>2500000</v>
      </c>
      <c r="E48" s="378">
        <f>'Table 3'!E48</f>
        <v>8928408</v>
      </c>
      <c r="F48" s="378">
        <f t="shared" si="8"/>
        <v>11428408</v>
      </c>
      <c r="G48" s="379">
        <v>0</v>
      </c>
      <c r="H48" s="379">
        <v>1</v>
      </c>
      <c r="I48" s="378">
        <f t="shared" si="9"/>
        <v>11428408</v>
      </c>
      <c r="J48" s="67" t="s">
        <v>376</v>
      </c>
      <c r="K48" s="67" t="s">
        <v>377</v>
      </c>
      <c r="L48" s="380">
        <f t="shared" ref="L48:L77" si="11">L47</f>
        <v>1537.57</v>
      </c>
      <c r="M48" s="381">
        <f t="shared" si="10"/>
        <v>7432.7724916589168</v>
      </c>
      <c r="N48" s="382"/>
      <c r="O48" s="67" t="str">
        <f>'Table 3'!K48</f>
        <v>Not commenced</v>
      </c>
      <c r="P48" s="67" t="s">
        <v>626</v>
      </c>
      <c r="Q48" s="67" t="str">
        <f>'Table 3'!N48</f>
        <v>Project name and description updated to conform with contemporary naming and description conventions</v>
      </c>
      <c r="R48" s="67" t="str">
        <f>'Table 3'!P48</f>
        <v>Toolern PSP Road and Intersection Project Cost Sheets, 
Cardno, March 2022</v>
      </c>
      <c r="S48" s="67"/>
      <c r="T48" s="67"/>
      <c r="U48" s="382"/>
      <c r="V48" s="67"/>
      <c r="W48" s="249"/>
    </row>
    <row r="49" spans="1:23" s="66" customFormat="1" ht="36" x14ac:dyDescent="0.2">
      <c r="A49" s="67" t="s">
        <v>264</v>
      </c>
      <c r="B49" s="67" t="s">
        <v>226</v>
      </c>
      <c r="C49" s="326" t="str">
        <f>'Table 3'!C49</f>
        <v xml:space="preserve">Intersection: Exford Road and Greigs Road
Upgrade of protected right-turn lane and left-turn deceleration lane, including drainage and landscaping.  </v>
      </c>
      <c r="D49" s="378">
        <f>'Table 3'!D49</f>
        <v>350000</v>
      </c>
      <c r="E49" s="378">
        <f>'Table 3'!E49</f>
        <v>2686264</v>
      </c>
      <c r="F49" s="378">
        <f t="shared" si="8"/>
        <v>3036264</v>
      </c>
      <c r="G49" s="379">
        <v>0</v>
      </c>
      <c r="H49" s="379">
        <v>1</v>
      </c>
      <c r="I49" s="378">
        <f t="shared" si="9"/>
        <v>3036264</v>
      </c>
      <c r="J49" s="67" t="s">
        <v>376</v>
      </c>
      <c r="K49" s="67" t="s">
        <v>377</v>
      </c>
      <c r="L49" s="380">
        <f t="shared" si="11"/>
        <v>1537.57</v>
      </c>
      <c r="M49" s="381">
        <f t="shared" si="10"/>
        <v>1974.7159478918034</v>
      </c>
      <c r="N49" s="382"/>
      <c r="O49" s="67" t="str">
        <f>'Table 3'!K49</f>
        <v>Not commenced</v>
      </c>
      <c r="P49" s="67" t="s">
        <v>626</v>
      </c>
      <c r="Q49" s="67" t="str">
        <f>'Table 3'!N49</f>
        <v>Project name and description updated to conform with contemporary naming and description conventions</v>
      </c>
      <c r="R49" s="67" t="str">
        <f>'Table 3'!P49</f>
        <v>Toolern PSP Road and Intersection Project Cost Sheets, 
Cardno, March 2022</v>
      </c>
      <c r="S49" s="67"/>
      <c r="T49" s="67"/>
      <c r="U49" s="382"/>
      <c r="V49" s="67"/>
      <c r="W49" s="249"/>
    </row>
    <row r="50" spans="1:23" s="66" customFormat="1" ht="24" x14ac:dyDescent="0.2">
      <c r="A50" s="67" t="s">
        <v>265</v>
      </c>
      <c r="B50" s="67" t="s">
        <v>226</v>
      </c>
      <c r="C50" s="326" t="str">
        <f>'Table 3'!C50</f>
        <v>Intersection: Exford Road and Ferris Road
Purchase of land and construction of signalised 4-way intersection (interim standard).</v>
      </c>
      <c r="D50" s="378">
        <f>'Table 3'!D50</f>
        <v>2450000</v>
      </c>
      <c r="E50" s="378">
        <f>'Table 3'!E50</f>
        <v>9032022</v>
      </c>
      <c r="F50" s="378">
        <f t="shared" si="8"/>
        <v>11482022</v>
      </c>
      <c r="G50" s="379">
        <v>0</v>
      </c>
      <c r="H50" s="379">
        <v>1</v>
      </c>
      <c r="I50" s="378">
        <f t="shared" si="9"/>
        <v>11482022</v>
      </c>
      <c r="J50" s="67" t="s">
        <v>376</v>
      </c>
      <c r="K50" s="67" t="s">
        <v>377</v>
      </c>
      <c r="L50" s="380">
        <f t="shared" si="11"/>
        <v>1537.57</v>
      </c>
      <c r="M50" s="381">
        <f t="shared" si="10"/>
        <v>7467.6417984221862</v>
      </c>
      <c r="N50" s="382"/>
      <c r="O50" s="67" t="str">
        <f>'Table 3'!K50</f>
        <v>Not commenced</v>
      </c>
      <c r="P50" s="67" t="s">
        <v>626</v>
      </c>
      <c r="Q50" s="67" t="b">
        <f>F143='Table 3'!N50</f>
        <v>0</v>
      </c>
      <c r="R50" s="67" t="str">
        <f>'Table 3'!P50</f>
        <v>Toolern PSP Road and Intersection Project Cost Sheets, 
Cardno, March 2022</v>
      </c>
      <c r="S50" s="67"/>
      <c r="T50" s="67"/>
      <c r="U50" s="382"/>
      <c r="V50" s="67"/>
      <c r="W50" s="249"/>
    </row>
    <row r="51" spans="1:23" s="66" customFormat="1" ht="24" x14ac:dyDescent="0.2">
      <c r="A51" s="67" t="s">
        <v>266</v>
      </c>
      <c r="B51" s="67" t="s">
        <v>226</v>
      </c>
      <c r="C51" s="326" t="str">
        <f>'Table 3'!C51</f>
        <v>Intersection: Exford Road and Mount Cottrell Road
Purchase of land and construction of signalised 4-way intersection (interim standard).</v>
      </c>
      <c r="D51" s="378">
        <f>'Table 3'!D51</f>
        <v>4450000</v>
      </c>
      <c r="E51" s="378">
        <f>'Table 3'!E51</f>
        <v>11738409</v>
      </c>
      <c r="F51" s="378">
        <f t="shared" si="8"/>
        <v>16188409</v>
      </c>
      <c r="G51" s="379">
        <v>0</v>
      </c>
      <c r="H51" s="379">
        <v>1</v>
      </c>
      <c r="I51" s="378">
        <f t="shared" si="9"/>
        <v>16188409</v>
      </c>
      <c r="J51" s="67" t="s">
        <v>376</v>
      </c>
      <c r="K51" s="67" t="s">
        <v>377</v>
      </c>
      <c r="L51" s="380">
        <f t="shared" si="11"/>
        <v>1537.57</v>
      </c>
      <c r="M51" s="381">
        <f t="shared" si="10"/>
        <v>10528.567154666129</v>
      </c>
      <c r="N51" s="382"/>
      <c r="O51" s="67" t="str">
        <f>'Table 3'!K51</f>
        <v>Not commenced</v>
      </c>
      <c r="P51" s="67" t="s">
        <v>626</v>
      </c>
      <c r="Q51" s="67" t="str">
        <f>'Table 3'!N51</f>
        <v>Project name and description updated to conform with contemporary naming and description conventions</v>
      </c>
      <c r="R51" s="67" t="str">
        <f>'Table 3'!P51</f>
        <v>Toolern PSP Road and Intersection Project Cost Sheets, 
Cardno, March 2022</v>
      </c>
      <c r="S51" s="67"/>
      <c r="T51" s="67"/>
      <c r="U51" s="382"/>
      <c r="V51" s="67"/>
      <c r="W51" s="249"/>
    </row>
    <row r="52" spans="1:23" s="66" customFormat="1" ht="36" x14ac:dyDescent="0.2">
      <c r="A52" s="67" t="s">
        <v>267</v>
      </c>
      <c r="B52" s="67" t="s">
        <v>226</v>
      </c>
      <c r="C52" s="326" t="str">
        <f>'Table 3'!C52</f>
        <v xml:space="preserve">Intersection: Exford Road and Paynes Road
Construction of signalised 4-way intersection (interim standard). </v>
      </c>
      <c r="D52" s="378">
        <f>'Table 3'!D52</f>
        <v>0</v>
      </c>
      <c r="E52" s="378">
        <f>'Table 3'!E52</f>
        <v>5619775.3099999996</v>
      </c>
      <c r="F52" s="378">
        <f t="shared" si="8"/>
        <v>5619775.3099999996</v>
      </c>
      <c r="G52" s="379">
        <v>0.5</v>
      </c>
      <c r="H52" s="379">
        <v>0.5</v>
      </c>
      <c r="I52" s="378">
        <f t="shared" si="9"/>
        <v>2809887.6549999998</v>
      </c>
      <c r="J52" s="67" t="s">
        <v>376</v>
      </c>
      <c r="K52" s="67" t="s">
        <v>377</v>
      </c>
      <c r="L52" s="380">
        <f t="shared" si="11"/>
        <v>1537.57</v>
      </c>
      <c r="M52" s="381">
        <f t="shared" si="10"/>
        <v>1827.4860038892537</v>
      </c>
      <c r="N52" s="382"/>
      <c r="O52" s="67" t="str">
        <f>'Table 3'!K52</f>
        <v>Not commenced</v>
      </c>
      <c r="P52" s="67" t="s">
        <v>626</v>
      </c>
      <c r="Q52" s="67" t="str">
        <f>'Table 3'!N52</f>
        <v>Project name and description updated to conform with contemporary naming and description conventions</v>
      </c>
      <c r="R52" s="67" t="str">
        <f>'Table 3'!P52</f>
        <v>Rockbank Development Contributions Plan, VPA, August 2016
Indexed to $2021</v>
      </c>
      <c r="S52" s="67"/>
      <c r="T52" s="67" t="s">
        <v>655</v>
      </c>
      <c r="U52" s="382"/>
      <c r="V52" s="249">
        <f>I52</f>
        <v>2809887.6549999998</v>
      </c>
      <c r="W52" s="249"/>
    </row>
    <row r="53" spans="1:23" s="66" customFormat="1" ht="24" x14ac:dyDescent="0.2">
      <c r="A53" s="67" t="s">
        <v>268</v>
      </c>
      <c r="B53" s="67" t="s">
        <v>226</v>
      </c>
      <c r="C53" s="326" t="str">
        <f>'Table 3'!C53</f>
        <v>Deleted</v>
      </c>
      <c r="D53" s="378">
        <f>'Table 3'!D53</f>
        <v>0</v>
      </c>
      <c r="E53" s="378">
        <f>'Table 3'!E53</f>
        <v>0</v>
      </c>
      <c r="F53" s="378">
        <f t="shared" si="8"/>
        <v>0</v>
      </c>
      <c r="G53" s="379">
        <v>0</v>
      </c>
      <c r="H53" s="379"/>
      <c r="I53" s="378">
        <f t="shared" ref="I53:I54" si="12">F53-(F53*G53)</f>
        <v>0</v>
      </c>
      <c r="J53" s="67"/>
      <c r="K53" s="67"/>
      <c r="L53" s="380">
        <f t="shared" si="11"/>
        <v>1537.57</v>
      </c>
      <c r="M53" s="381">
        <f t="shared" si="10"/>
        <v>0</v>
      </c>
      <c r="N53" s="382"/>
      <c r="O53" s="67" t="str">
        <f>'Table 3'!K53</f>
        <v>Project deleted as it is located in the Rockbank South PSP area</v>
      </c>
      <c r="P53" s="67" t="s">
        <v>626</v>
      </c>
      <c r="Q53" s="67"/>
      <c r="R53" s="67"/>
      <c r="S53" s="67" t="str">
        <f>'Table 3'!O53</f>
        <v>Project deleted as it is located in the Rockbank South PSP area</v>
      </c>
      <c r="T53" s="67"/>
      <c r="U53" s="382"/>
      <c r="V53" s="67"/>
      <c r="W53" s="249"/>
    </row>
    <row r="54" spans="1:23" s="66" customFormat="1" ht="24" x14ac:dyDescent="0.2">
      <c r="A54" s="67" t="s">
        <v>269</v>
      </c>
      <c r="B54" s="67" t="s">
        <v>226</v>
      </c>
      <c r="C54" s="326" t="str">
        <f>'Table 3'!C54</f>
        <v>Deleted</v>
      </c>
      <c r="D54" s="378">
        <f>'Table 3'!D54</f>
        <v>0</v>
      </c>
      <c r="E54" s="378">
        <f>'Table 3'!E54</f>
        <v>0</v>
      </c>
      <c r="F54" s="378">
        <f t="shared" si="8"/>
        <v>0</v>
      </c>
      <c r="G54" s="379">
        <v>0</v>
      </c>
      <c r="H54" s="379"/>
      <c r="I54" s="378">
        <f t="shared" si="12"/>
        <v>0</v>
      </c>
      <c r="J54" s="67"/>
      <c r="K54" s="67"/>
      <c r="L54" s="380">
        <f t="shared" si="11"/>
        <v>1537.57</v>
      </c>
      <c r="M54" s="381">
        <f t="shared" si="10"/>
        <v>0</v>
      </c>
      <c r="N54" s="382"/>
      <c r="O54" s="67" t="str">
        <f>'Table 3'!K54</f>
        <v>Project deleted as it is located in the Rockbank South PSP area</v>
      </c>
      <c r="P54" s="67" t="s">
        <v>626</v>
      </c>
      <c r="Q54" s="67"/>
      <c r="R54" s="67"/>
      <c r="S54" s="67" t="str">
        <f>'Table 3'!O54</f>
        <v>Project deleted as it is located in the Rockbank South PSP area</v>
      </c>
      <c r="T54" s="67"/>
      <c r="U54" s="382"/>
      <c r="V54" s="67"/>
      <c r="W54" s="249"/>
    </row>
    <row r="55" spans="1:23" s="66" customFormat="1" ht="24" x14ac:dyDescent="0.2">
      <c r="A55" s="67" t="s">
        <v>270</v>
      </c>
      <c r="B55" s="67" t="s">
        <v>226</v>
      </c>
      <c r="C55" s="326" t="str">
        <f>'Table 3'!C55</f>
        <v>Intersection: Mount Cottrell Road and Shogaki Drive
Purchase of land and construction of signalised 4-way intersection (interim standard).</v>
      </c>
      <c r="D55" s="378">
        <f>'Table 3'!D55</f>
        <v>1075000</v>
      </c>
      <c r="E55" s="378">
        <f>'Table 3'!E55</f>
        <v>7109635</v>
      </c>
      <c r="F55" s="378">
        <f t="shared" si="8"/>
        <v>8184635</v>
      </c>
      <c r="G55" s="379">
        <v>0.5</v>
      </c>
      <c r="H55" s="379">
        <v>0.5</v>
      </c>
      <c r="I55" s="378">
        <f>D55+(E55*H55)</f>
        <v>4629817.5</v>
      </c>
      <c r="J55" s="67" t="s">
        <v>376</v>
      </c>
      <c r="K55" s="67" t="s">
        <v>377</v>
      </c>
      <c r="L55" s="380">
        <f t="shared" si="11"/>
        <v>1537.57</v>
      </c>
      <c r="M55" s="381">
        <f t="shared" si="10"/>
        <v>3011.1263227040072</v>
      </c>
      <c r="N55" s="382"/>
      <c r="O55" s="67" t="str">
        <f>'Table 3'!K55</f>
        <v>Partially constructed</v>
      </c>
      <c r="P55" s="67" t="s">
        <v>626</v>
      </c>
      <c r="Q55" s="67" t="str">
        <f>'Table 3'!N55</f>
        <v>Project name and description updated to conform with contemporary naming and description conventions</v>
      </c>
      <c r="R55" s="67" t="str">
        <f>'Table 3'!P55</f>
        <v>Paynes Road DCP, Urban Enterprise, December 2020</v>
      </c>
      <c r="S55" s="67"/>
      <c r="T55" s="67" t="s">
        <v>656</v>
      </c>
      <c r="U55" s="382"/>
      <c r="V55" s="249">
        <f>E55/2</f>
        <v>3554817.5</v>
      </c>
      <c r="W55" s="249"/>
    </row>
    <row r="56" spans="1:23" s="66" customFormat="1" x14ac:dyDescent="0.2">
      <c r="A56" s="67" t="s">
        <v>725</v>
      </c>
      <c r="B56" s="67"/>
      <c r="C56" s="326" t="str">
        <f>'Table 3'!C56</f>
        <v>Skipped Project - There is no IT11 in the Toolern DCP</v>
      </c>
      <c r="D56" s="378"/>
      <c r="E56" s="378"/>
      <c r="F56" s="378"/>
      <c r="G56" s="379"/>
      <c r="H56" s="379"/>
      <c r="I56" s="378"/>
      <c r="J56" s="67"/>
      <c r="K56" s="67"/>
      <c r="L56" s="380"/>
      <c r="M56" s="381"/>
      <c r="N56" s="382"/>
      <c r="O56" s="67" t="str">
        <f>'Table 3'!K56</f>
        <v>This project was skipped in the Toolern DCP</v>
      </c>
      <c r="P56" s="67"/>
      <c r="Q56" s="67"/>
      <c r="R56" s="67"/>
      <c r="S56" s="67" t="s">
        <v>736</v>
      </c>
      <c r="T56" s="67"/>
      <c r="U56" s="382"/>
      <c r="V56" s="67"/>
      <c r="W56" s="249"/>
    </row>
    <row r="57" spans="1:23" s="66" customFormat="1" ht="24" x14ac:dyDescent="0.2">
      <c r="A57" s="67" t="s">
        <v>271</v>
      </c>
      <c r="B57" s="67" t="s">
        <v>226</v>
      </c>
      <c r="C57" s="326" t="str">
        <f>'Table 3'!C57</f>
        <v>Intersection: Shogaki Drive and Industrial Connector Road 
Construction of signalised 4-way intersection (interim standard).</v>
      </c>
      <c r="D57" s="378">
        <f>'Table 3'!D57</f>
        <v>2425000</v>
      </c>
      <c r="E57" s="378">
        <f>'Table 3'!E57</f>
        <v>10179831</v>
      </c>
      <c r="F57" s="378">
        <f t="shared" si="8"/>
        <v>12604831</v>
      </c>
      <c r="G57" s="379">
        <v>0</v>
      </c>
      <c r="H57" s="379">
        <v>1</v>
      </c>
      <c r="I57" s="378">
        <f t="shared" ref="I57:I77" si="13">F57*H57</f>
        <v>12604831</v>
      </c>
      <c r="J57" s="67" t="s">
        <v>376</v>
      </c>
      <c r="K57" s="67" t="s">
        <v>377</v>
      </c>
      <c r="L57" s="380">
        <f>L55</f>
        <v>1537.57</v>
      </c>
      <c r="M57" s="381">
        <f t="shared" si="10"/>
        <v>8197.8908277346727</v>
      </c>
      <c r="N57" s="382"/>
      <c r="O57" s="67" t="str">
        <f>'Table 3'!K57</f>
        <v>Not commenced</v>
      </c>
      <c r="P57" s="67" t="s">
        <v>626</v>
      </c>
      <c r="Q57" s="67" t="str">
        <f>'Table 3'!N57</f>
        <v>Project name and description updated to conform with contemporary naming and description conventions</v>
      </c>
      <c r="R57" s="67" t="str">
        <f>'Table 3'!P57</f>
        <v>Toolern PSP Road and Intersection Project Cost Sheets, 
Cardno, March 2022</v>
      </c>
      <c r="S57" s="67"/>
      <c r="T57" s="67"/>
      <c r="U57" s="382"/>
      <c r="V57" s="67"/>
      <c r="W57" s="249"/>
    </row>
    <row r="58" spans="1:23" s="66" customFormat="1" ht="24" x14ac:dyDescent="0.2">
      <c r="A58" s="67" t="s">
        <v>272</v>
      </c>
      <c r="B58" s="67" t="s">
        <v>226</v>
      </c>
      <c r="C58" s="326" t="str">
        <f>'Table 3'!C58</f>
        <v xml:space="preserve">Intersection: Ferris Road and Shogaki Drive
Purchase of land and construction of signalised 4-way intersection (interim standard). </v>
      </c>
      <c r="D58" s="378">
        <f>'Table 3'!D58</f>
        <v>725000</v>
      </c>
      <c r="E58" s="378">
        <f>'Table 3'!E58</f>
        <v>11062998</v>
      </c>
      <c r="F58" s="378">
        <f t="shared" si="8"/>
        <v>11787998</v>
      </c>
      <c r="G58" s="379">
        <v>0</v>
      </c>
      <c r="H58" s="379">
        <v>1</v>
      </c>
      <c r="I58" s="378">
        <f t="shared" si="13"/>
        <v>11787998</v>
      </c>
      <c r="J58" s="67" t="s">
        <v>376</v>
      </c>
      <c r="K58" s="67" t="s">
        <v>377</v>
      </c>
      <c r="L58" s="380">
        <f t="shared" si="11"/>
        <v>1537.57</v>
      </c>
      <c r="M58" s="381">
        <f t="shared" si="10"/>
        <v>7666.6415187601215</v>
      </c>
      <c r="N58" s="382"/>
      <c r="O58" s="67" t="str">
        <f>'Table 3'!K58</f>
        <v>Not commenced</v>
      </c>
      <c r="P58" s="67" t="s">
        <v>626</v>
      </c>
      <c r="Q58" s="67" t="str">
        <f>'Table 3'!N58</f>
        <v>Project name and description updated to conform with contemporary naming and description conventions</v>
      </c>
      <c r="R58" s="67" t="str">
        <f>'Table 3'!P58</f>
        <v>Toolern PSP Road and Intersection Project Cost Sheets, 
Cardno, March 2022</v>
      </c>
      <c r="S58" s="67"/>
      <c r="T58" s="67"/>
      <c r="U58" s="382"/>
      <c r="V58" s="67"/>
      <c r="W58" s="249"/>
    </row>
    <row r="59" spans="1:23" s="66" customFormat="1" ht="36" x14ac:dyDescent="0.2">
      <c r="A59" s="67" t="s">
        <v>273</v>
      </c>
      <c r="B59" s="67" t="s">
        <v>226</v>
      </c>
      <c r="C59" s="326" t="str">
        <f>'Table 3'!C59</f>
        <v>Intersection: Ferris Road and Hollingsworth Drive 
Construction of signalised T-intersection (interim standard).</v>
      </c>
      <c r="D59" s="378">
        <f>'Table 3'!D59</f>
        <v>0</v>
      </c>
      <c r="E59" s="378">
        <f>'Table 3'!E59</f>
        <v>1353545.22</v>
      </c>
      <c r="F59" s="378">
        <f t="shared" si="8"/>
        <v>1353545.22</v>
      </c>
      <c r="G59" s="379">
        <v>0</v>
      </c>
      <c r="H59" s="379">
        <v>1</v>
      </c>
      <c r="I59" s="378">
        <f t="shared" si="13"/>
        <v>1353545.22</v>
      </c>
      <c r="J59" s="67" t="s">
        <v>376</v>
      </c>
      <c r="K59" s="67" t="s">
        <v>377</v>
      </c>
      <c r="L59" s="380">
        <f t="shared" si="11"/>
        <v>1537.57</v>
      </c>
      <c r="M59" s="381">
        <f t="shared" si="10"/>
        <v>880.31453527319081</v>
      </c>
      <c r="N59" s="382"/>
      <c r="O59" s="67" t="str">
        <f>'Table 3'!K59</f>
        <v>Constructed</v>
      </c>
      <c r="P59" s="67" t="s">
        <v>626</v>
      </c>
      <c r="Q59" s="67" t="str">
        <f>'Table 3'!N59</f>
        <v>Project name and description updated to conform with contemporary naming and description conventions</v>
      </c>
      <c r="R59" s="67" t="str">
        <f>'Table 3'!P59</f>
        <v>Constructed
Toolern Development Contributions Plan, VPA
Indexed to $2021</v>
      </c>
      <c r="S59" s="67" t="s">
        <v>514</v>
      </c>
      <c r="T59" s="67"/>
      <c r="U59" s="382"/>
      <c r="V59" s="67"/>
      <c r="W59" s="249"/>
    </row>
    <row r="60" spans="1:23" s="66" customFormat="1" ht="36" x14ac:dyDescent="0.2">
      <c r="A60" s="67" t="s">
        <v>274</v>
      </c>
      <c r="B60" s="67" t="s">
        <v>226</v>
      </c>
      <c r="C60" s="326" t="str">
        <f>'Table 3'!C60</f>
        <v>Intersection: Ferris Road and Bridge Road
Construction of signalised 4-way intersection (interim standard).</v>
      </c>
      <c r="D60" s="378">
        <f>'Table 3'!D60</f>
        <v>1360000</v>
      </c>
      <c r="E60" s="378">
        <f>'Table 3'!E60</f>
        <v>1353545</v>
      </c>
      <c r="F60" s="378">
        <f t="shared" si="8"/>
        <v>2713545</v>
      </c>
      <c r="G60" s="379">
        <v>0</v>
      </c>
      <c r="H60" s="379">
        <v>1</v>
      </c>
      <c r="I60" s="378">
        <f t="shared" si="13"/>
        <v>2713545</v>
      </c>
      <c r="J60" s="67" t="s">
        <v>376</v>
      </c>
      <c r="K60" s="67" t="s">
        <v>377</v>
      </c>
      <c r="L60" s="380">
        <f t="shared" si="11"/>
        <v>1537.57</v>
      </c>
      <c r="M60" s="381">
        <f t="shared" si="10"/>
        <v>1764.8269672275085</v>
      </c>
      <c r="N60" s="382"/>
      <c r="O60" s="67" t="str">
        <f>'Table 3'!K60</f>
        <v>Commited project
Part of the Bridge Road extension project to the Hospital</v>
      </c>
      <c r="P60" s="67" t="s">
        <v>626</v>
      </c>
      <c r="Q60" s="67" t="str">
        <f>'Table 3'!N60</f>
        <v>Project name and description updated to conform with contemporary naming and description conventions</v>
      </c>
      <c r="R60" s="67" t="str">
        <f>'Table 3'!P60</f>
        <v>Constructed
Toolern Development Contributions Plan, VPA
Indexed to $2021</v>
      </c>
      <c r="S60" s="67" t="s">
        <v>846</v>
      </c>
      <c r="T60" s="67"/>
      <c r="U60" s="382"/>
      <c r="V60" s="67"/>
      <c r="W60" s="249"/>
    </row>
    <row r="61" spans="1:23" s="66" customFormat="1" ht="24" x14ac:dyDescent="0.2">
      <c r="A61" s="67" t="s">
        <v>275</v>
      </c>
      <c r="B61" s="67" t="s">
        <v>226</v>
      </c>
      <c r="C61" s="326" t="str">
        <f>'Table 3'!C61</f>
        <v xml:space="preserve">Intersection: Abey Road and Industrial Connector Road
Construction of a signalised T-intersection (interim standard). </v>
      </c>
      <c r="D61" s="378">
        <f>'Table 3'!D61</f>
        <v>185000</v>
      </c>
      <c r="E61" s="378">
        <f>'Table 3'!E61</f>
        <v>5190822</v>
      </c>
      <c r="F61" s="378">
        <f t="shared" si="8"/>
        <v>5375822</v>
      </c>
      <c r="G61" s="379">
        <v>0</v>
      </c>
      <c r="H61" s="379">
        <v>1</v>
      </c>
      <c r="I61" s="378">
        <f t="shared" si="13"/>
        <v>5375822</v>
      </c>
      <c r="J61" s="67" t="s">
        <v>376</v>
      </c>
      <c r="K61" s="67" t="s">
        <v>377</v>
      </c>
      <c r="L61" s="380">
        <f t="shared" si="11"/>
        <v>1537.57</v>
      </c>
      <c r="M61" s="381">
        <f t="shared" si="10"/>
        <v>3496.3104118836868</v>
      </c>
      <c r="N61" s="382"/>
      <c r="O61" s="67" t="str">
        <f>'Table 3'!K61</f>
        <v>Not commenced</v>
      </c>
      <c r="P61" s="67" t="s">
        <v>626</v>
      </c>
      <c r="Q61" s="67" t="str">
        <f>'Table 3'!N61</f>
        <v>Project name and description updated to conform with contemporary naming and description conventions</v>
      </c>
      <c r="R61" s="67" t="str">
        <f>'Table 3'!P61</f>
        <v>Toolern PSP Road and Intersection Project Cost Sheets, 
Cardno, March 2022</v>
      </c>
      <c r="S61" s="67"/>
      <c r="T61" s="67"/>
      <c r="U61" s="382"/>
      <c r="V61" s="67"/>
      <c r="W61" s="249"/>
    </row>
    <row r="62" spans="1:23" s="66" customFormat="1" ht="24" x14ac:dyDescent="0.2">
      <c r="A62" s="67" t="s">
        <v>276</v>
      </c>
      <c r="B62" s="67" t="s">
        <v>226</v>
      </c>
      <c r="C62" s="326" t="str">
        <f>'Table 3'!C62</f>
        <v>Intersection: Abey Road and Bundy Drive
Construction of signalised T-intersection (interim standard).</v>
      </c>
      <c r="D62" s="378">
        <f>'Table 3'!D62</f>
        <v>125000</v>
      </c>
      <c r="E62" s="378">
        <f>'Table 3'!E62</f>
        <v>5652281</v>
      </c>
      <c r="F62" s="378">
        <f t="shared" si="8"/>
        <v>5777281</v>
      </c>
      <c r="G62" s="379">
        <v>0</v>
      </c>
      <c r="H62" s="379">
        <v>1</v>
      </c>
      <c r="I62" s="378">
        <f t="shared" si="13"/>
        <v>5777281</v>
      </c>
      <c r="J62" s="67" t="s">
        <v>376</v>
      </c>
      <c r="K62" s="67" t="s">
        <v>377</v>
      </c>
      <c r="L62" s="380">
        <f t="shared" si="11"/>
        <v>1537.57</v>
      </c>
      <c r="M62" s="381">
        <f t="shared" si="10"/>
        <v>3757.4100691350641</v>
      </c>
      <c r="N62" s="382"/>
      <c r="O62" s="67" t="str">
        <f>'Table 3'!K62</f>
        <v>Not commenced</v>
      </c>
      <c r="P62" s="67" t="s">
        <v>626</v>
      </c>
      <c r="Q62" s="67" t="str">
        <f>'Table 3'!N62</f>
        <v>Project name and description updated to conform with contemporary naming and description conventions</v>
      </c>
      <c r="R62" s="67" t="str">
        <f>'Table 3'!P62</f>
        <v>Toolern PSP Road and Intersection Project Cost Sheets, 
Cardno, March 2022</v>
      </c>
      <c r="S62" s="67"/>
      <c r="T62" s="67"/>
      <c r="U62" s="382"/>
      <c r="V62" s="67"/>
      <c r="W62" s="249"/>
    </row>
    <row r="63" spans="1:23" s="66" customFormat="1" ht="24" x14ac:dyDescent="0.2">
      <c r="A63" s="67" t="s">
        <v>277</v>
      </c>
      <c r="B63" s="67" t="s">
        <v>226</v>
      </c>
      <c r="C63" s="326" t="str">
        <f>'Table 3'!C63</f>
        <v>Intersection: Ferris Road and Shakamaker Drive
Construction of signalised 4-way intersection (ultimate standard).</v>
      </c>
      <c r="D63" s="378">
        <f>'Table 3'!D63</f>
        <v>1050000</v>
      </c>
      <c r="E63" s="378">
        <f>'Table 3'!E63</f>
        <v>7973390</v>
      </c>
      <c r="F63" s="378">
        <f t="shared" si="8"/>
        <v>9023390</v>
      </c>
      <c r="G63" s="379">
        <v>0</v>
      </c>
      <c r="H63" s="379">
        <v>1</v>
      </c>
      <c r="I63" s="378">
        <f t="shared" si="13"/>
        <v>9023390</v>
      </c>
      <c r="J63" s="67" t="s">
        <v>376</v>
      </c>
      <c r="K63" s="67" t="s">
        <v>377</v>
      </c>
      <c r="L63" s="380">
        <f t="shared" si="11"/>
        <v>1537.57</v>
      </c>
      <c r="M63" s="381">
        <f t="shared" si="10"/>
        <v>5868.6043562244322</v>
      </c>
      <c r="N63" s="382"/>
      <c r="O63" s="67" t="str">
        <f>'Table 3'!K63</f>
        <v>Not commenced</v>
      </c>
      <c r="P63" s="67" t="s">
        <v>626</v>
      </c>
      <c r="Q63" s="67" t="str">
        <f>'Table 3'!N63</f>
        <v>Project name and description updated to conform with contemporary naming and description conventions</v>
      </c>
      <c r="R63" s="67" t="str">
        <f>'Table 3'!P63</f>
        <v>Toolern PSP Road and Intersection Project Cost Sheets, 
Cardno, March 2022</v>
      </c>
      <c r="S63" s="67"/>
      <c r="T63" s="67"/>
      <c r="U63" s="382"/>
      <c r="V63" s="67"/>
      <c r="W63" s="249"/>
    </row>
    <row r="64" spans="1:23" s="66" customFormat="1" ht="24" x14ac:dyDescent="0.2">
      <c r="A64" s="67" t="s">
        <v>278</v>
      </c>
      <c r="B64" s="67" t="s">
        <v>226</v>
      </c>
      <c r="C64" s="326" t="str">
        <f>'Table 3'!C64</f>
        <v>Intersection: Mount Cottrell Road and Baxterpark Drive
Construction of signalised T-intersection (interim standard).</v>
      </c>
      <c r="D64" s="378">
        <f>'Table 3'!D64</f>
        <v>0</v>
      </c>
      <c r="E64" s="378">
        <f>'Table 3'!E64</f>
        <v>1071556.6399999999</v>
      </c>
      <c r="F64" s="378">
        <f t="shared" si="8"/>
        <v>1071556.6399999999</v>
      </c>
      <c r="G64" s="379">
        <v>0.5</v>
      </c>
      <c r="H64" s="379">
        <v>0.5</v>
      </c>
      <c r="I64" s="378">
        <f t="shared" si="13"/>
        <v>535778.31999999995</v>
      </c>
      <c r="J64" s="67" t="s">
        <v>376</v>
      </c>
      <c r="K64" s="67" t="s">
        <v>377</v>
      </c>
      <c r="L64" s="380">
        <f t="shared" si="11"/>
        <v>1537.57</v>
      </c>
      <c r="M64" s="381">
        <f t="shared" si="10"/>
        <v>348.45783931788469</v>
      </c>
      <c r="N64" s="382"/>
      <c r="O64" s="67" t="str">
        <f>'Table 3'!K64</f>
        <v>Constructed</v>
      </c>
      <c r="P64" s="67" t="s">
        <v>626</v>
      </c>
      <c r="Q64" s="67" t="str">
        <f>'Table 3'!N64</f>
        <v>Project name and description updated to conform with contemporary naming and description conventions</v>
      </c>
      <c r="R64" s="67" t="str">
        <f>'Table 3'!P64</f>
        <v>Constructed
Paynes Road DCP, Urban Enterprise, December 2020</v>
      </c>
      <c r="S64" s="67"/>
      <c r="T64" s="67" t="s">
        <v>656</v>
      </c>
      <c r="U64" s="382"/>
      <c r="V64" s="249">
        <f>I64</f>
        <v>535778.31999999995</v>
      </c>
      <c r="W64" s="249"/>
    </row>
    <row r="65" spans="1:36" s="66" customFormat="1" ht="24" x14ac:dyDescent="0.2">
      <c r="A65" s="67" t="s">
        <v>279</v>
      </c>
      <c r="B65" s="67" t="s">
        <v>226</v>
      </c>
      <c r="C65" s="326" t="str">
        <f>'Table 3'!C65</f>
        <v>Intersection: Mount Cottrell Road and Southern Connector Road
Construction of signalised 4-way intersection (interim standard).</v>
      </c>
      <c r="D65" s="378">
        <f>'Table 3'!D65</f>
        <v>1845000</v>
      </c>
      <c r="E65" s="378">
        <f>'Table 3'!E65</f>
        <v>9393854</v>
      </c>
      <c r="F65" s="378">
        <f t="shared" si="8"/>
        <v>11238854</v>
      </c>
      <c r="G65" s="379">
        <v>0</v>
      </c>
      <c r="H65" s="379">
        <v>1</v>
      </c>
      <c r="I65" s="378">
        <f t="shared" si="13"/>
        <v>11238854</v>
      </c>
      <c r="J65" s="67" t="s">
        <v>376</v>
      </c>
      <c r="K65" s="67" t="s">
        <v>377</v>
      </c>
      <c r="L65" s="380">
        <f t="shared" si="11"/>
        <v>1537.57</v>
      </c>
      <c r="M65" s="381">
        <f t="shared" si="10"/>
        <v>7309.4909500055282</v>
      </c>
      <c r="N65" s="382"/>
      <c r="O65" s="67" t="str">
        <f>'Table 3'!K65</f>
        <v>Not commenced</v>
      </c>
      <c r="P65" s="67" t="s">
        <v>626</v>
      </c>
      <c r="Q65" s="67" t="str">
        <f>'Table 3'!N65</f>
        <v>Project name and description updated to conform with contemporary naming and description conventions</v>
      </c>
      <c r="R65" s="67" t="str">
        <f>'Table 3'!P65</f>
        <v>Toolern PSP Road and Intersection Project Cost Sheets, 
Cardno, March 2022</v>
      </c>
      <c r="S65" s="67"/>
      <c r="T65" s="67"/>
      <c r="U65" s="382"/>
      <c r="V65" s="67"/>
      <c r="W65" s="249"/>
    </row>
    <row r="66" spans="1:36" s="66" customFormat="1" ht="24" x14ac:dyDescent="0.2">
      <c r="A66" s="67" t="s">
        <v>280</v>
      </c>
      <c r="B66" s="67" t="s">
        <v>226</v>
      </c>
      <c r="C66" s="326" t="str">
        <f>'Table 3'!C66</f>
        <v xml:space="preserve">Intersection: Exford Road and Eastern North-South Connector Road 
Construction of signalised 4-way intersection (interim standard). </v>
      </c>
      <c r="D66" s="378">
        <f>'Table 3'!D66</f>
        <v>2675000</v>
      </c>
      <c r="E66" s="378">
        <f>'Table 3'!E66</f>
        <v>6512388</v>
      </c>
      <c r="F66" s="378">
        <f t="shared" si="8"/>
        <v>9187388</v>
      </c>
      <c r="G66" s="379">
        <v>0</v>
      </c>
      <c r="H66" s="379">
        <v>1</v>
      </c>
      <c r="I66" s="378">
        <f t="shared" si="13"/>
        <v>9187388</v>
      </c>
      <c r="J66" s="67" t="s">
        <v>376</v>
      </c>
      <c r="K66" s="67" t="s">
        <v>377</v>
      </c>
      <c r="L66" s="380">
        <f t="shared" si="11"/>
        <v>1537.57</v>
      </c>
      <c r="M66" s="381">
        <f t="shared" si="10"/>
        <v>5975.2648659898414</v>
      </c>
      <c r="N66" s="382"/>
      <c r="O66" s="67" t="str">
        <f>'Table 3'!K66</f>
        <v>Not commenced</v>
      </c>
      <c r="P66" s="67" t="s">
        <v>626</v>
      </c>
      <c r="Q66" s="67" t="str">
        <f>'Table 3'!N66</f>
        <v>Project name and description updated to conform with contemporary naming and description conventions</v>
      </c>
      <c r="R66" s="67" t="str">
        <f>'Table 3'!P66</f>
        <v>Toolern PSP Road and Intersection Project Cost Sheets, 
Cardno, March 2022</v>
      </c>
      <c r="S66" s="67"/>
      <c r="T66" s="67"/>
      <c r="U66" s="382"/>
      <c r="V66" s="67"/>
      <c r="W66" s="249"/>
    </row>
    <row r="67" spans="1:36" s="66" customFormat="1" ht="24" x14ac:dyDescent="0.2">
      <c r="A67" s="67" t="s">
        <v>281</v>
      </c>
      <c r="B67" s="67" t="s">
        <v>226</v>
      </c>
      <c r="C67" s="326" t="str">
        <f>'Table 3'!C67</f>
        <v>Intersection: Exford Road and Central North-South Connector Road
Construction of signalised 4-way intersection (interim standard).</v>
      </c>
      <c r="D67" s="378">
        <f>'Table 3'!D67</f>
        <v>2100000</v>
      </c>
      <c r="E67" s="378">
        <f>'Table 3'!E67</f>
        <v>5595492</v>
      </c>
      <c r="F67" s="378">
        <f t="shared" si="8"/>
        <v>7695492</v>
      </c>
      <c r="G67" s="379">
        <v>0</v>
      </c>
      <c r="H67" s="379">
        <v>1</v>
      </c>
      <c r="I67" s="378">
        <f t="shared" si="13"/>
        <v>7695492</v>
      </c>
      <c r="J67" s="67" t="s">
        <v>376</v>
      </c>
      <c r="K67" s="67" t="s">
        <v>377</v>
      </c>
      <c r="L67" s="380">
        <f t="shared" si="11"/>
        <v>1537.57</v>
      </c>
      <c r="M67" s="381">
        <f t="shared" si="10"/>
        <v>5004.9701802194377</v>
      </c>
      <c r="N67" s="382"/>
      <c r="O67" s="67" t="str">
        <f>'Table 3'!K67</f>
        <v>Not commenced</v>
      </c>
      <c r="P67" s="67" t="s">
        <v>626</v>
      </c>
      <c r="Q67" s="67" t="str">
        <f>'Table 3'!N67</f>
        <v>Project name and description updated to conform with contemporary naming and description conventions</v>
      </c>
      <c r="R67" s="67" t="str">
        <f>'Table 3'!P67</f>
        <v>Toolern PSP Road and Intersection Project Cost Sheets, 
Cardno, March 2022</v>
      </c>
      <c r="S67" s="67"/>
      <c r="T67" s="67"/>
      <c r="U67" s="382"/>
      <c r="V67" s="67"/>
      <c r="W67" s="249"/>
    </row>
    <row r="68" spans="1:36" s="66" customFormat="1" ht="24" x14ac:dyDescent="0.2">
      <c r="A68" s="67" t="s">
        <v>282</v>
      </c>
      <c r="B68" s="67" t="s">
        <v>226</v>
      </c>
      <c r="C68" s="326" t="str">
        <f>'Table 3'!C68</f>
        <v>Intersection: Exford Road and Western North-South Connector Road
Construction of signalised T-intersection (interim standard).</v>
      </c>
      <c r="D68" s="378">
        <f>'Table 3'!D68</f>
        <v>825000</v>
      </c>
      <c r="E68" s="378">
        <f>'Table 3'!E68</f>
        <v>4802624</v>
      </c>
      <c r="F68" s="378">
        <f t="shared" si="8"/>
        <v>5627624</v>
      </c>
      <c r="G68" s="379">
        <v>0</v>
      </c>
      <c r="H68" s="379">
        <v>1</v>
      </c>
      <c r="I68" s="378">
        <f t="shared" si="13"/>
        <v>5627624</v>
      </c>
      <c r="J68" s="67" t="s">
        <v>376</v>
      </c>
      <c r="K68" s="67" t="s">
        <v>377</v>
      </c>
      <c r="L68" s="380">
        <f t="shared" si="11"/>
        <v>1537.57</v>
      </c>
      <c r="M68" s="381">
        <f t="shared" si="10"/>
        <v>3660.0766143980436</v>
      </c>
      <c r="N68" s="382"/>
      <c r="O68" s="67" t="str">
        <f>'Table 3'!K68</f>
        <v>Not commenced</v>
      </c>
      <c r="P68" s="67" t="s">
        <v>626</v>
      </c>
      <c r="Q68" s="67" t="str">
        <f>'Table 3'!N68</f>
        <v>Project name and description updated to conform with contemporary naming and description conventions</v>
      </c>
      <c r="R68" s="67" t="str">
        <f>'Table 3'!P68</f>
        <v>Toolern PSP Road and Intersection Project Cost Sheets, 
Cardno, March 2022</v>
      </c>
      <c r="S68" s="67"/>
      <c r="T68" s="67"/>
      <c r="U68" s="382"/>
      <c r="V68" s="67"/>
      <c r="W68" s="249"/>
    </row>
    <row r="69" spans="1:36" s="66" customFormat="1" ht="36" x14ac:dyDescent="0.2">
      <c r="A69" s="67" t="s">
        <v>283</v>
      </c>
      <c r="B69" s="67" t="s">
        <v>226</v>
      </c>
      <c r="C69" s="326" t="str">
        <f>'Table 3'!C69</f>
        <v>Intersection: Exford Road and Elpis Road
Construction of signalised T-intersection (interim standard).</v>
      </c>
      <c r="D69" s="378">
        <f>'Table 3'!D69</f>
        <v>0</v>
      </c>
      <c r="E69" s="378">
        <f>'Table 3'!E69</f>
        <v>1071556.6399999999</v>
      </c>
      <c r="F69" s="378">
        <f t="shared" si="8"/>
        <v>1071556.6399999999</v>
      </c>
      <c r="G69" s="379">
        <v>0</v>
      </c>
      <c r="H69" s="379">
        <v>1</v>
      </c>
      <c r="I69" s="378">
        <f t="shared" si="13"/>
        <v>1071556.6399999999</v>
      </c>
      <c r="J69" s="67" t="s">
        <v>376</v>
      </c>
      <c r="K69" s="67" t="s">
        <v>377</v>
      </c>
      <c r="L69" s="380">
        <f t="shared" si="11"/>
        <v>1537.57</v>
      </c>
      <c r="M69" s="381">
        <f t="shared" si="10"/>
        <v>696.91567863576938</v>
      </c>
      <c r="N69" s="382"/>
      <c r="O69" s="67" t="str">
        <f>'Table 3'!K69</f>
        <v>Constructed</v>
      </c>
      <c r="P69" s="67" t="s">
        <v>626</v>
      </c>
      <c r="Q69" s="67" t="str">
        <f>'Table 3'!N69</f>
        <v>Project name and description updated to conform with contemporary naming and description conventions</v>
      </c>
      <c r="R69" s="67" t="str">
        <f>'Table 3'!P69</f>
        <v>Constructed
Toolern Development Contributions Plan, VPA
Indexed to $2021</v>
      </c>
      <c r="S69" s="67" t="s">
        <v>514</v>
      </c>
      <c r="T69" s="67"/>
      <c r="U69" s="382"/>
      <c r="V69" s="67"/>
      <c r="W69" s="249"/>
    </row>
    <row r="70" spans="1:36" s="66" customFormat="1" ht="24" x14ac:dyDescent="0.2">
      <c r="A70" s="67" t="s">
        <v>284</v>
      </c>
      <c r="B70" s="67" t="s">
        <v>226</v>
      </c>
      <c r="C70" s="326" t="str">
        <f>'Table 3'!C70</f>
        <v>Intersection: Mount Cottrell Road and Bridge Road
Construction of signalised T-intersection (interim standard).</v>
      </c>
      <c r="D70" s="378">
        <f>'Table 3'!D70</f>
        <v>537500</v>
      </c>
      <c r="E70" s="378">
        <f>'Table 3'!E70</f>
        <v>983157</v>
      </c>
      <c r="F70" s="378">
        <f t="shared" si="8"/>
        <v>1520657</v>
      </c>
      <c r="G70" s="379">
        <v>0</v>
      </c>
      <c r="H70" s="379">
        <v>1</v>
      </c>
      <c r="I70" s="378">
        <f t="shared" si="13"/>
        <v>1520657</v>
      </c>
      <c r="J70" s="67" t="s">
        <v>376</v>
      </c>
      <c r="K70" s="67" t="s">
        <v>377</v>
      </c>
      <c r="L70" s="380">
        <f t="shared" si="11"/>
        <v>1537.57</v>
      </c>
      <c r="M70" s="381">
        <f t="shared" si="10"/>
        <v>989.00017560176127</v>
      </c>
      <c r="N70" s="382"/>
      <c r="O70" s="67" t="str">
        <f>'Table 3'!K70</f>
        <v>Not commenced</v>
      </c>
      <c r="P70" s="67" t="s">
        <v>626</v>
      </c>
      <c r="Q70" s="67" t="str">
        <f>'Table 3'!N70</f>
        <v>Project name and description updated to conform with contemporary naming and description conventions</v>
      </c>
      <c r="R70" s="67" t="str">
        <f>'Table 3'!P70</f>
        <v>Toolern PSP Road and Intersection Project Cost Sheets, 
Cardno, March 2022</v>
      </c>
      <c r="S70" s="67"/>
      <c r="T70" s="67"/>
      <c r="U70" s="382"/>
      <c r="V70" s="67"/>
      <c r="W70" s="249"/>
    </row>
    <row r="71" spans="1:36" s="66" customFormat="1" ht="36" x14ac:dyDescent="0.2">
      <c r="A71" s="67" t="s">
        <v>285</v>
      </c>
      <c r="B71" s="67" t="s">
        <v>226</v>
      </c>
      <c r="C71" s="326" t="str">
        <f>'Table 3'!C71</f>
        <v>Intersection: Mount Cottrell Road and Alfred Road
Construction of signalised 4-way intersection (interim standard).</v>
      </c>
      <c r="D71" s="378">
        <f>'Table 3'!D71</f>
        <v>1200000</v>
      </c>
      <c r="E71" s="378">
        <f>'Table 3'!E71</f>
        <v>1353545.22</v>
      </c>
      <c r="F71" s="378">
        <f t="shared" si="8"/>
        <v>2553545.2199999997</v>
      </c>
      <c r="G71" s="379">
        <v>0</v>
      </c>
      <c r="H71" s="379">
        <v>1</v>
      </c>
      <c r="I71" s="378">
        <f t="shared" si="13"/>
        <v>2553545.2199999997</v>
      </c>
      <c r="J71" s="67" t="s">
        <v>376</v>
      </c>
      <c r="K71" s="67" t="s">
        <v>377</v>
      </c>
      <c r="L71" s="380">
        <f t="shared" si="11"/>
        <v>1537.57</v>
      </c>
      <c r="M71" s="381">
        <f t="shared" si="10"/>
        <v>1660.7668073648679</v>
      </c>
      <c r="N71" s="382"/>
      <c r="O71" s="67" t="str">
        <f>'Table 3'!K71</f>
        <v>Constructed</v>
      </c>
      <c r="P71" s="67" t="s">
        <v>626</v>
      </c>
      <c r="Q71" s="67" t="str">
        <f>'Table 3'!N71</f>
        <v>Project name and description updated to conform with contemporary naming and description conventions</v>
      </c>
      <c r="R71" s="67" t="str">
        <f>'Table 3'!P71</f>
        <v>Constructed
Toolern Development Contributions Plan, VPA
Indexed to $2021</v>
      </c>
      <c r="S71" s="67"/>
      <c r="T71" s="67"/>
      <c r="U71" s="382"/>
      <c r="V71" s="67"/>
      <c r="W71" s="249"/>
    </row>
    <row r="72" spans="1:36" s="66" customFormat="1" ht="36" x14ac:dyDescent="0.2">
      <c r="A72" s="67" t="s">
        <v>286</v>
      </c>
      <c r="B72" s="67" t="s">
        <v>226</v>
      </c>
      <c r="C72" s="326" t="str">
        <f>'Table 3'!C72</f>
        <v>Intersection: Ferris Road and Alfred Road
Construction of signalised 4-way intersection (interim standard).</v>
      </c>
      <c r="D72" s="378">
        <f>'Table 3'!D72</f>
        <v>600000</v>
      </c>
      <c r="E72" s="378">
        <f>'Table 3'!E72</f>
        <v>1353545.22</v>
      </c>
      <c r="F72" s="378">
        <f t="shared" si="8"/>
        <v>1953545.22</v>
      </c>
      <c r="G72" s="379">
        <v>0</v>
      </c>
      <c r="H72" s="379">
        <v>1</v>
      </c>
      <c r="I72" s="378">
        <f t="shared" si="13"/>
        <v>1953545.22</v>
      </c>
      <c r="J72" s="67" t="s">
        <v>376</v>
      </c>
      <c r="K72" s="67" t="s">
        <v>377</v>
      </c>
      <c r="L72" s="380">
        <f t="shared" si="11"/>
        <v>1537.57</v>
      </c>
      <c r="M72" s="381">
        <f t="shared" si="10"/>
        <v>1270.5406713190293</v>
      </c>
      <c r="N72" s="382"/>
      <c r="O72" s="67" t="str">
        <f>'Table 3'!K72</f>
        <v>Under construction</v>
      </c>
      <c r="P72" s="67" t="s">
        <v>626</v>
      </c>
      <c r="Q72" s="67" t="str">
        <f>'Table 3'!N72</f>
        <v>Project name and description updated to conform with contemporary naming and description conventions</v>
      </c>
      <c r="R72" s="67" t="str">
        <f>'Table 3'!P72</f>
        <v>Under Construction
Toolern Development Contributions Plan, VPA
Indexed to $2021</v>
      </c>
      <c r="S72" s="67"/>
      <c r="T72" s="67"/>
      <c r="U72" s="382"/>
      <c r="V72" s="67"/>
      <c r="W72" s="249"/>
    </row>
    <row r="73" spans="1:36" s="66" customFormat="1" ht="36" x14ac:dyDescent="0.2">
      <c r="A73" s="67" t="s">
        <v>287</v>
      </c>
      <c r="B73" s="67" t="s">
        <v>226</v>
      </c>
      <c r="C73" s="326" t="str">
        <f>'Table 3'!C73</f>
        <v>Intersection: Ferris Road and Southern Connector Road
Construction of signalised 4-way intersection (interim standard).</v>
      </c>
      <c r="D73" s="378">
        <f>'Table 3'!D73</f>
        <v>1125000</v>
      </c>
      <c r="E73" s="378">
        <f>'Table 3'!E73</f>
        <v>1353545</v>
      </c>
      <c r="F73" s="378">
        <f t="shared" si="8"/>
        <v>2478545</v>
      </c>
      <c r="G73" s="379">
        <v>0</v>
      </c>
      <c r="H73" s="379">
        <v>1</v>
      </c>
      <c r="I73" s="378">
        <f t="shared" si="13"/>
        <v>2478545</v>
      </c>
      <c r="J73" s="67" t="s">
        <v>376</v>
      </c>
      <c r="K73" s="67" t="s">
        <v>377</v>
      </c>
      <c r="L73" s="380">
        <f t="shared" si="11"/>
        <v>1537.57</v>
      </c>
      <c r="M73" s="381">
        <f t="shared" si="10"/>
        <v>1611.9883972762216</v>
      </c>
      <c r="N73" s="382"/>
      <c r="O73" s="67" t="str">
        <f>'Table 3'!K73</f>
        <v>Under construction</v>
      </c>
      <c r="P73" s="67" t="s">
        <v>626</v>
      </c>
      <c r="Q73" s="67" t="str">
        <f>'Table 3'!N73</f>
        <v>Project name and description updated to conform with contemporary naming and description conventions</v>
      </c>
      <c r="R73" s="67" t="str">
        <f>'Table 3'!P73</f>
        <v>Under Construction
Toolern Development Contributions Plan, VPA
Indexed to $2022</v>
      </c>
      <c r="S73" s="67"/>
      <c r="T73" s="67"/>
      <c r="U73" s="382"/>
      <c r="V73" s="67"/>
      <c r="W73" s="249"/>
    </row>
    <row r="74" spans="1:36" s="66" customFormat="1" ht="24" x14ac:dyDescent="0.2">
      <c r="A74" s="67" t="s">
        <v>503</v>
      </c>
      <c r="B74" s="67" t="s">
        <v>226</v>
      </c>
      <c r="C74" s="326" t="str">
        <f>'Table 3'!C74</f>
        <v>Intersection: Ferris Road and Enterprise Street
Construction of a signalised 4-way intersection (interim standard).</v>
      </c>
      <c r="D74" s="378">
        <f>'Table 3'!D74</f>
        <v>175000</v>
      </c>
      <c r="E74" s="378">
        <f>'Table 3'!E74</f>
        <v>4598543</v>
      </c>
      <c r="F74" s="378">
        <f t="shared" ref="F74:F77" si="14">D74+E74</f>
        <v>4773543</v>
      </c>
      <c r="G74" s="379">
        <v>0</v>
      </c>
      <c r="H74" s="379">
        <v>1</v>
      </c>
      <c r="I74" s="378">
        <f t="shared" si="13"/>
        <v>4773543</v>
      </c>
      <c r="J74" s="67" t="s">
        <v>376</v>
      </c>
      <c r="K74" s="67" t="s">
        <v>377</v>
      </c>
      <c r="L74" s="380">
        <f t="shared" si="11"/>
        <v>1537.57</v>
      </c>
      <c r="M74" s="381">
        <f t="shared" si="10"/>
        <v>3104.6020668977676</v>
      </c>
      <c r="N74" s="382"/>
      <c r="O74" s="67" t="str">
        <f>'Table 3'!K74</f>
        <v>New project from CMAC UDF</v>
      </c>
      <c r="P74" s="67" t="s">
        <v>626</v>
      </c>
      <c r="Q74" s="67"/>
      <c r="R74" s="67" t="str">
        <f>'Table 3'!P74</f>
        <v>Toolern PSP Road and Intersection Project Cost Sheets, 
Cardno, March 2022</v>
      </c>
      <c r="S74" s="67" t="str">
        <f>'Table 3'!O74</f>
        <v>New intersection project from the Cobblebank Metropolitan Activity Centre Urban Design Framework</v>
      </c>
      <c r="T74" s="67"/>
      <c r="U74" s="382"/>
      <c r="V74" s="67"/>
      <c r="W74" s="249"/>
    </row>
    <row r="75" spans="1:36" s="66" customFormat="1" ht="36" x14ac:dyDescent="0.2">
      <c r="A75" s="67" t="s">
        <v>504</v>
      </c>
      <c r="B75" s="67" t="s">
        <v>226</v>
      </c>
      <c r="C75" s="326" t="str">
        <f>'Table 3'!C75</f>
        <v>Intersection: Paynes Road and Alfred Road
Construction of a signalised 4-way intersection (interim standard).</v>
      </c>
      <c r="D75" s="378">
        <f>'Table 3'!D75</f>
        <v>0</v>
      </c>
      <c r="E75" s="378">
        <f>'Table 3'!E75</f>
        <v>3872264.7</v>
      </c>
      <c r="F75" s="378">
        <f t="shared" si="14"/>
        <v>3872264.7</v>
      </c>
      <c r="G75" s="379">
        <v>0.5</v>
      </c>
      <c r="H75" s="379">
        <v>0.5</v>
      </c>
      <c r="I75" s="378">
        <f t="shared" si="13"/>
        <v>1936132.35</v>
      </c>
      <c r="J75" s="67" t="s">
        <v>376</v>
      </c>
      <c r="K75" s="67" t="s">
        <v>377</v>
      </c>
      <c r="L75" s="380">
        <f t="shared" si="11"/>
        <v>1537.57</v>
      </c>
      <c r="M75" s="381">
        <f t="shared" si="10"/>
        <v>1259.215743023082</v>
      </c>
      <c r="N75" s="382"/>
      <c r="O75" s="67" t="str">
        <f>'Table 3'!K75</f>
        <v>New project from Rockbank DCP - IT12</v>
      </c>
      <c r="P75" s="67" t="s">
        <v>626</v>
      </c>
      <c r="Q75" s="67"/>
      <c r="R75" s="67" t="str">
        <f>'Table 3'!P75</f>
        <v>Rockbank Development Contributions Plan, VPA, August 2016
Indexed to $2021</v>
      </c>
      <c r="S75" s="67" t="str">
        <f>'Table 3'!O75</f>
        <v>Missing intersection project from the Rockbank Development Contributions Plan.</v>
      </c>
      <c r="T75" s="67" t="s">
        <v>655</v>
      </c>
      <c r="U75" s="382"/>
      <c r="V75" s="67"/>
      <c r="W75" s="249">
        <f>E75-I75</f>
        <v>1936132.35</v>
      </c>
    </row>
    <row r="76" spans="1:36" s="66" customFormat="1" ht="36" x14ac:dyDescent="0.2">
      <c r="A76" s="67" t="s">
        <v>505</v>
      </c>
      <c r="B76" s="67" t="s">
        <v>226</v>
      </c>
      <c r="C76" s="326" t="str">
        <f>'Table 3'!C76</f>
        <v>Intersection: Paynes Road and East-West Connector Road 1
Construction of a signalised 4-way intersection (interim standard).</v>
      </c>
      <c r="D76" s="378">
        <f>'Table 3'!D76</f>
        <v>0</v>
      </c>
      <c r="E76" s="378">
        <f>'Table 3'!E76</f>
        <v>3350228.14</v>
      </c>
      <c r="F76" s="378">
        <f t="shared" si="14"/>
        <v>3350228.14</v>
      </c>
      <c r="G76" s="379">
        <v>0.5</v>
      </c>
      <c r="H76" s="379">
        <v>0.5</v>
      </c>
      <c r="I76" s="378">
        <f t="shared" si="13"/>
        <v>1675114.07</v>
      </c>
      <c r="J76" s="67" t="s">
        <v>376</v>
      </c>
      <c r="K76" s="67" t="s">
        <v>377</v>
      </c>
      <c r="L76" s="380">
        <f t="shared" si="11"/>
        <v>1537.57</v>
      </c>
      <c r="M76" s="381">
        <f t="shared" si="10"/>
        <v>1089.4554849535307</v>
      </c>
      <c r="N76" s="382"/>
      <c r="O76" s="67" t="str">
        <f>'Table 3'!K76</f>
        <v>New project from Rockbank DCP - IT13</v>
      </c>
      <c r="P76" s="67" t="s">
        <v>626</v>
      </c>
      <c r="Q76" s="67"/>
      <c r="R76" s="67" t="str">
        <f>'Table 3'!P76</f>
        <v>Rockbank Development Contributions Plan, VPA, August 2016
Indexed to $2021</v>
      </c>
      <c r="S76" s="67" t="str">
        <f>'Table 3'!O76</f>
        <v>Missing intersection project from the Rockbank Development Contributions Plan.</v>
      </c>
      <c r="T76" s="67" t="s">
        <v>655</v>
      </c>
      <c r="U76" s="382"/>
      <c r="V76" s="67"/>
      <c r="W76" s="249">
        <f>E76-I76</f>
        <v>1675114.07</v>
      </c>
    </row>
    <row r="77" spans="1:36" s="66" customFormat="1" ht="36" x14ac:dyDescent="0.2">
      <c r="A77" s="67" t="s">
        <v>506</v>
      </c>
      <c r="B77" s="67" t="s">
        <v>226</v>
      </c>
      <c r="C77" s="326" t="str">
        <f>'Table 3'!C77</f>
        <v>Intersection: Paynes Road and East-West Connector Road 2
Construction of a signalised 3-way intersection (interim standard).</v>
      </c>
      <c r="D77" s="378">
        <f>'Table 3'!D77</f>
        <v>0</v>
      </c>
      <c r="E77" s="378">
        <f>'Table 3'!E77</f>
        <v>3495442.99</v>
      </c>
      <c r="F77" s="378">
        <f t="shared" si="14"/>
        <v>3495442.99</v>
      </c>
      <c r="G77" s="379">
        <v>0.75</v>
      </c>
      <c r="H77" s="379">
        <v>0.25</v>
      </c>
      <c r="I77" s="378">
        <f t="shared" si="13"/>
        <v>873860.74750000006</v>
      </c>
      <c r="J77" s="67" t="s">
        <v>376</v>
      </c>
      <c r="K77" s="67" t="s">
        <v>377</v>
      </c>
      <c r="L77" s="380">
        <f t="shared" si="11"/>
        <v>1537.57</v>
      </c>
      <c r="M77" s="381">
        <f t="shared" si="10"/>
        <v>568.3388382317554</v>
      </c>
      <c r="N77" s="382"/>
      <c r="O77" s="67" t="str">
        <f>'Table 3'!K77</f>
        <v>New project from Rockbank DCP - IT14</v>
      </c>
      <c r="P77" s="67" t="s">
        <v>626</v>
      </c>
      <c r="Q77" s="67"/>
      <c r="R77" s="67" t="str">
        <f>'Table 3'!P77</f>
        <v>Rockbank Development Contributions Plan, VPA, August 2016
Indexed to $2021</v>
      </c>
      <c r="S77" s="67" t="str">
        <f>'Table 3'!O77</f>
        <v>Missing intersection project from the Rockbank Development Contributions Plan.</v>
      </c>
      <c r="T77" s="67" t="s">
        <v>657</v>
      </c>
      <c r="U77" s="382"/>
      <c r="V77" s="67"/>
      <c r="W77" s="249">
        <f>E77-I77</f>
        <v>2621582.2425000002</v>
      </c>
    </row>
    <row r="78" spans="1:36" s="64" customFormat="1" x14ac:dyDescent="0.2">
      <c r="A78" s="383" t="s">
        <v>14</v>
      </c>
      <c r="B78" s="383"/>
      <c r="C78" s="383"/>
      <c r="D78" s="387">
        <f>SUM(D46:D77)</f>
        <v>29462500</v>
      </c>
      <c r="E78" s="387">
        <f>SUM(E46:E77)</f>
        <v>147524125.07999998</v>
      </c>
      <c r="F78" s="387">
        <f>SUM(F46:F77)</f>
        <v>176986625.07999998</v>
      </c>
      <c r="G78" s="385"/>
      <c r="H78" s="385"/>
      <c r="I78" s="388">
        <f>SUM(I46:I77)</f>
        <v>163853312.94249997</v>
      </c>
      <c r="J78" s="236"/>
      <c r="K78" s="236"/>
      <c r="L78" s="383"/>
      <c r="M78" s="389"/>
      <c r="N78" s="391"/>
      <c r="O78" s="65"/>
      <c r="P78" s="65"/>
      <c r="Q78" s="65"/>
      <c r="R78" s="65"/>
      <c r="S78" s="65"/>
      <c r="T78" s="65"/>
      <c r="U78" s="383"/>
      <c r="V78" s="65"/>
      <c r="W78" s="252"/>
    </row>
    <row r="79" spans="1:36" s="86" customFormat="1" x14ac:dyDescent="0.2">
      <c r="A79" s="377" t="s">
        <v>288</v>
      </c>
      <c r="B79" s="82"/>
      <c r="C79" s="82"/>
      <c r="D79" s="313"/>
      <c r="E79" s="313"/>
      <c r="F79" s="313"/>
      <c r="G79" s="314"/>
      <c r="H79" s="314"/>
      <c r="I79" s="313"/>
      <c r="J79" s="82"/>
      <c r="K79" s="82"/>
      <c r="L79" s="82"/>
      <c r="M79" s="87"/>
      <c r="N79" s="476"/>
      <c r="O79" s="82"/>
      <c r="P79" s="82"/>
      <c r="Q79" s="82"/>
      <c r="R79" s="82"/>
      <c r="S79" s="82"/>
      <c r="T79" s="82"/>
      <c r="U79" s="248"/>
      <c r="V79" s="82"/>
      <c r="W79" s="251"/>
      <c r="X79" s="83"/>
      <c r="Y79" s="82"/>
      <c r="Z79" s="82"/>
      <c r="AA79" s="82"/>
      <c r="AB79" s="82"/>
      <c r="AC79" s="82"/>
      <c r="AD79" s="84"/>
      <c r="AE79" s="84"/>
      <c r="AF79" s="84"/>
      <c r="AG79" s="84"/>
      <c r="AH79" s="84"/>
      <c r="AI79" s="84"/>
      <c r="AJ79" s="85"/>
    </row>
    <row r="80" spans="1:36" s="66" customFormat="1" ht="36" x14ac:dyDescent="0.2">
      <c r="A80" s="67" t="s">
        <v>289</v>
      </c>
      <c r="B80" s="67" t="s">
        <v>226</v>
      </c>
      <c r="C80" s="326" t="str">
        <f>'Table 3'!C80</f>
        <v>Abey Road Bridge
Construction of an arterial road bridge over the Toolern Creek.</v>
      </c>
      <c r="D80" s="378">
        <f>'Table 3'!D80</f>
        <v>0</v>
      </c>
      <c r="E80" s="378">
        <f>'Table 3'!E80</f>
        <v>4934800.3</v>
      </c>
      <c r="F80" s="378">
        <f>D80+E80</f>
        <v>4934800.3</v>
      </c>
      <c r="G80" s="379">
        <v>0</v>
      </c>
      <c r="H80" s="379">
        <v>1</v>
      </c>
      <c r="I80" s="378">
        <f>F80*H80</f>
        <v>4934800.3</v>
      </c>
      <c r="J80" s="67" t="s">
        <v>376</v>
      </c>
      <c r="K80" s="67" t="s">
        <v>377</v>
      </c>
      <c r="L80" s="380">
        <f>L73</f>
        <v>1537.57</v>
      </c>
      <c r="M80" s="381">
        <f>I80/L80</f>
        <v>3209.4800887114084</v>
      </c>
      <c r="N80" s="382"/>
      <c r="O80" s="67" t="str">
        <f>'Table 3'!K80</f>
        <v>Constructed</v>
      </c>
      <c r="P80" s="67" t="s">
        <v>626</v>
      </c>
      <c r="Q80" s="67" t="str">
        <f>'Table 3'!N80</f>
        <v>Project name and description updated to conform with contemporary naming and description conventions</v>
      </c>
      <c r="R80" s="67" t="str">
        <f>'Table 3'!P80</f>
        <v>Constructed
Toolern Development Contributions Plan, VPA
Indexed to $2021</v>
      </c>
      <c r="S80" s="67" t="s">
        <v>514</v>
      </c>
      <c r="T80" s="67"/>
      <c r="U80" s="382"/>
      <c r="V80" s="67"/>
      <c r="W80" s="249"/>
    </row>
    <row r="81" spans="1:23" s="66" customFormat="1" ht="36" x14ac:dyDescent="0.2">
      <c r="A81" s="67" t="s">
        <v>290</v>
      </c>
      <c r="B81" s="67" t="s">
        <v>226</v>
      </c>
      <c r="C81" s="326" t="str">
        <f>'Table 3'!C81</f>
        <v>Bridge Road Bridge
Construction of a connector road bridge over the Toolern Creek.</v>
      </c>
      <c r="D81" s="378">
        <f>'Table 3'!D81</f>
        <v>0</v>
      </c>
      <c r="E81" s="378">
        <f>'Table 3'!E81</f>
        <v>7040315.0899999999</v>
      </c>
      <c r="F81" s="378">
        <f t="shared" ref="F81:F93" si="15">D81+E81</f>
        <v>7040315.0899999999</v>
      </c>
      <c r="G81" s="379">
        <v>0</v>
      </c>
      <c r="H81" s="379">
        <v>1</v>
      </c>
      <c r="I81" s="378">
        <f t="shared" ref="I81:I89" si="16">F81*H81</f>
        <v>7040315.0899999999</v>
      </c>
      <c r="J81" s="67" t="s">
        <v>376</v>
      </c>
      <c r="K81" s="67" t="s">
        <v>377</v>
      </c>
      <c r="L81" s="380">
        <f>L80</f>
        <v>1537.57</v>
      </c>
      <c r="M81" s="381">
        <f t="shared" ref="M81:M93" si="17">I81/L81</f>
        <v>4578.8582568598504</v>
      </c>
      <c r="N81" s="382"/>
      <c r="O81" s="67" t="str">
        <f>'Table 3'!K81</f>
        <v>Constructed</v>
      </c>
      <c r="P81" s="67" t="s">
        <v>626</v>
      </c>
      <c r="Q81" s="67" t="str">
        <f>'Table 3'!N81</f>
        <v>Project name and description updated to conform with contemporary naming and description conventions</v>
      </c>
      <c r="R81" s="67" t="str">
        <f>'Table 3'!P81</f>
        <v>Constructed
Toolern Development Contributions Plan, VPA
Indexed to $2021</v>
      </c>
      <c r="S81" s="67" t="s">
        <v>514</v>
      </c>
      <c r="T81" s="67"/>
      <c r="U81" s="382"/>
      <c r="V81" s="67"/>
      <c r="W81" s="249"/>
    </row>
    <row r="82" spans="1:23" s="66" customFormat="1" ht="36" x14ac:dyDescent="0.2">
      <c r="A82" s="67" t="s">
        <v>291</v>
      </c>
      <c r="B82" s="67" t="s">
        <v>226</v>
      </c>
      <c r="C82" s="326" t="str">
        <f>'Table 3'!C82</f>
        <v>Exford Road Bridge
Construction of an arterial road bridge over the Toolern Creek.</v>
      </c>
      <c r="D82" s="378">
        <f>'Table 3'!D82</f>
        <v>0</v>
      </c>
      <c r="E82" s="378">
        <f>'Table 3'!E82</f>
        <v>15193107</v>
      </c>
      <c r="F82" s="378">
        <f t="shared" si="15"/>
        <v>15193107</v>
      </c>
      <c r="G82" s="379">
        <v>0</v>
      </c>
      <c r="H82" s="379">
        <v>1</v>
      </c>
      <c r="I82" s="378">
        <f t="shared" si="16"/>
        <v>15193107</v>
      </c>
      <c r="J82" s="67" t="s">
        <v>376</v>
      </c>
      <c r="K82" s="67" t="s">
        <v>377</v>
      </c>
      <c r="L82" s="380">
        <f t="shared" ref="L82:L100" si="18">L81</f>
        <v>1537.57</v>
      </c>
      <c r="M82" s="381">
        <f t="shared" si="17"/>
        <v>9881.2457319016376</v>
      </c>
      <c r="N82" s="382"/>
      <c r="O82" s="67" t="str">
        <f>'Table 3'!K82</f>
        <v>Not commenced</v>
      </c>
      <c r="P82" s="67" t="s">
        <v>626</v>
      </c>
      <c r="Q82" s="67" t="str">
        <f>'Table 3'!N82</f>
        <v>Project name and description updated to conform with contemporary naming and description conventions</v>
      </c>
      <c r="R82" s="67" t="str">
        <f>'Table 3'!P82</f>
        <v>Toolern PSP Bridge Project Cost Sheets, Currie and Brown, 
November 2021</v>
      </c>
      <c r="S82" s="67"/>
      <c r="T82" s="67"/>
      <c r="U82" s="382"/>
      <c r="V82" s="67"/>
      <c r="W82" s="249"/>
    </row>
    <row r="83" spans="1:23" s="66" customFormat="1" ht="36" x14ac:dyDescent="0.2">
      <c r="A83" s="67" t="s">
        <v>292</v>
      </c>
      <c r="B83" s="67" t="s">
        <v>226</v>
      </c>
      <c r="C83" s="326" t="str">
        <f>'Table 3'!C83</f>
        <v>Shared Use Pedestrian Bridge 1: Toolern Creek
Construction of a shared use pedestrian bridge over the Toolern Creek.</v>
      </c>
      <c r="D83" s="378">
        <f>'Table 3'!D83</f>
        <v>0</v>
      </c>
      <c r="E83" s="378">
        <f>'Table 3'!E83</f>
        <v>1389467</v>
      </c>
      <c r="F83" s="378">
        <f t="shared" si="15"/>
        <v>1389467</v>
      </c>
      <c r="G83" s="379">
        <v>0</v>
      </c>
      <c r="H83" s="379">
        <v>1</v>
      </c>
      <c r="I83" s="378">
        <f t="shared" si="16"/>
        <v>1389467</v>
      </c>
      <c r="J83" s="67" t="s">
        <v>376</v>
      </c>
      <c r="K83" s="67" t="s">
        <v>377</v>
      </c>
      <c r="L83" s="380">
        <f t="shared" si="18"/>
        <v>1537.57</v>
      </c>
      <c r="M83" s="381">
        <f t="shared" si="17"/>
        <v>903.6772309553387</v>
      </c>
      <c r="N83" s="382"/>
      <c r="O83" s="67" t="str">
        <f>'Table 3'!K83</f>
        <v>Not commenced</v>
      </c>
      <c r="P83" s="67" t="s">
        <v>626</v>
      </c>
      <c r="Q83" s="67" t="str">
        <f>'Table 3'!N83</f>
        <v>Project name and description updated to conform with contemporary naming and description conventions</v>
      </c>
      <c r="R83" s="67" t="str">
        <f>'Table 3'!P83</f>
        <v>Toolern PSP Bridge Project Cost Sheets, Currie and Brown, 
November 2021</v>
      </c>
      <c r="S83" s="67"/>
      <c r="T83" s="67"/>
      <c r="U83" s="382"/>
      <c r="V83" s="67"/>
      <c r="W83" s="249"/>
    </row>
    <row r="84" spans="1:23" s="66" customFormat="1" ht="36" x14ac:dyDescent="0.2">
      <c r="A84" s="67" t="s">
        <v>293</v>
      </c>
      <c r="B84" s="67" t="s">
        <v>226</v>
      </c>
      <c r="C84" s="326" t="str">
        <f>'Table 3'!C84</f>
        <v>Shared Use Pedestrian Bridge 2: Toolern Creek
Construction of a shared use pedestrian bridge over the Toolern Creek.</v>
      </c>
      <c r="D84" s="378">
        <f>'Table 3'!D84</f>
        <v>0</v>
      </c>
      <c r="E84" s="378">
        <f>'Table 3'!E84</f>
        <v>1389467</v>
      </c>
      <c r="F84" s="378">
        <f t="shared" si="15"/>
        <v>1389467</v>
      </c>
      <c r="G84" s="379">
        <v>0</v>
      </c>
      <c r="H84" s="379">
        <v>1</v>
      </c>
      <c r="I84" s="378">
        <f t="shared" si="16"/>
        <v>1389467</v>
      </c>
      <c r="J84" s="67" t="s">
        <v>376</v>
      </c>
      <c r="K84" s="67" t="s">
        <v>377</v>
      </c>
      <c r="L84" s="380">
        <f t="shared" si="18"/>
        <v>1537.57</v>
      </c>
      <c r="M84" s="381">
        <f t="shared" si="17"/>
        <v>903.6772309553387</v>
      </c>
      <c r="N84" s="382"/>
      <c r="O84" s="67" t="str">
        <f>'Table 3'!K84</f>
        <v>Not commenced</v>
      </c>
      <c r="P84" s="67" t="s">
        <v>626</v>
      </c>
      <c r="Q84" s="67" t="str">
        <f>'Table 3'!N84</f>
        <v>Project name and description updated to conform with contemporary naming and description conventions</v>
      </c>
      <c r="R84" s="67" t="str">
        <f>'Table 3'!P84</f>
        <v>Toolern PSP Bridge Project Cost Sheets, Currie and Brown, 
November 2021</v>
      </c>
      <c r="S84" s="67"/>
      <c r="T84" s="67"/>
      <c r="U84" s="382"/>
      <c r="V84" s="67"/>
      <c r="W84" s="249"/>
    </row>
    <row r="85" spans="1:23" s="66" customFormat="1" ht="36" x14ac:dyDescent="0.2">
      <c r="A85" s="67" t="s">
        <v>294</v>
      </c>
      <c r="B85" s="67" t="s">
        <v>226</v>
      </c>
      <c r="C85" s="326" t="str">
        <f>'Table 3'!C85</f>
        <v>Shared Use Pedestrian Bridge 3: Toolern Creek
Construction of a shared use pedestrian bridge over the Toolern Creek.</v>
      </c>
      <c r="D85" s="378">
        <f>'Table 3'!D85</f>
        <v>0</v>
      </c>
      <c r="E85" s="378">
        <f>'Table 3'!E85</f>
        <v>1764829</v>
      </c>
      <c r="F85" s="378">
        <f t="shared" si="15"/>
        <v>1764829</v>
      </c>
      <c r="G85" s="379">
        <v>0</v>
      </c>
      <c r="H85" s="379">
        <v>1</v>
      </c>
      <c r="I85" s="378">
        <f t="shared" si="16"/>
        <v>1764829</v>
      </c>
      <c r="J85" s="67" t="s">
        <v>376</v>
      </c>
      <c r="K85" s="67" t="s">
        <v>377</v>
      </c>
      <c r="L85" s="380">
        <f t="shared" si="18"/>
        <v>1537.57</v>
      </c>
      <c r="M85" s="381">
        <f t="shared" si="17"/>
        <v>1147.8040024194022</v>
      </c>
      <c r="N85" s="382"/>
      <c r="O85" s="67" t="str">
        <f>'Table 3'!K85</f>
        <v>Not commenced</v>
      </c>
      <c r="P85" s="67" t="s">
        <v>626</v>
      </c>
      <c r="Q85" s="67" t="str">
        <f>'Table 3'!N85</f>
        <v>Project name and description updated to conform with contemporary naming and description conventions</v>
      </c>
      <c r="R85" s="67" t="str">
        <f>'Table 3'!P85</f>
        <v>Toolern PSP Bridge Project Cost Sheets, Currie and Brown, 
November 2021</v>
      </c>
      <c r="S85" s="67"/>
      <c r="T85" s="67"/>
      <c r="U85" s="382"/>
      <c r="V85" s="67"/>
      <c r="W85" s="249"/>
    </row>
    <row r="86" spans="1:23" s="66" customFormat="1" ht="36" x14ac:dyDescent="0.2">
      <c r="A86" s="67" t="s">
        <v>295</v>
      </c>
      <c r="B86" s="67" t="s">
        <v>226</v>
      </c>
      <c r="C86" s="326" t="str">
        <f>'Table 3'!C86</f>
        <v>Pedestrian Underpass 1: Melbourne Ballarat Railway
Construction of a pedestrian underpass.</v>
      </c>
      <c r="D86" s="378">
        <f>'Table 3'!D86</f>
        <v>0</v>
      </c>
      <c r="E86" s="378">
        <f>'Table 3'!E86</f>
        <v>3762450</v>
      </c>
      <c r="F86" s="378">
        <f t="shared" si="15"/>
        <v>3762450</v>
      </c>
      <c r="G86" s="379">
        <v>0</v>
      </c>
      <c r="H86" s="379">
        <v>1</v>
      </c>
      <c r="I86" s="378">
        <f t="shared" si="16"/>
        <v>3762450</v>
      </c>
      <c r="J86" s="67" t="s">
        <v>376</v>
      </c>
      <c r="K86" s="67" t="s">
        <v>377</v>
      </c>
      <c r="L86" s="380">
        <f t="shared" si="18"/>
        <v>1537.57</v>
      </c>
      <c r="M86" s="381">
        <f t="shared" si="17"/>
        <v>2447.0105426094424</v>
      </c>
      <c r="N86" s="382"/>
      <c r="O86" s="67" t="str">
        <f>'Table 3'!K86</f>
        <v>Not commenced</v>
      </c>
      <c r="P86" s="67" t="s">
        <v>626</v>
      </c>
      <c r="Q86" s="67" t="str">
        <f>'Table 3'!N86</f>
        <v>Project name and description updated to conform with contemporary naming and description conventions</v>
      </c>
      <c r="R86" s="67" t="str">
        <f>'Table 3'!P86</f>
        <v>Toolern PSP Bridge Project Cost Sheets, Currie and Brown, 
November 2021</v>
      </c>
      <c r="S86" s="67"/>
      <c r="T86" s="67"/>
      <c r="U86" s="382"/>
      <c r="V86" s="67"/>
      <c r="W86" s="249"/>
    </row>
    <row r="87" spans="1:23" s="66" customFormat="1" ht="36" x14ac:dyDescent="0.2">
      <c r="A87" s="67" t="s">
        <v>296</v>
      </c>
      <c r="B87" s="67" t="s">
        <v>226</v>
      </c>
      <c r="C87" s="326" t="str">
        <f>'Table 3'!C87</f>
        <v>Pedestrian Underpass 2: Melbourne Ballarat Railway
Construction of a pedestrian underpass.</v>
      </c>
      <c r="D87" s="378">
        <f>'Table 3'!D87</f>
        <v>0</v>
      </c>
      <c r="E87" s="378">
        <f>'Table 3'!E87</f>
        <v>3762450</v>
      </c>
      <c r="F87" s="378">
        <f t="shared" si="15"/>
        <v>3762450</v>
      </c>
      <c r="G87" s="379">
        <v>0</v>
      </c>
      <c r="H87" s="379">
        <v>1</v>
      </c>
      <c r="I87" s="378">
        <f t="shared" si="16"/>
        <v>3762450</v>
      </c>
      <c r="J87" s="67" t="s">
        <v>376</v>
      </c>
      <c r="K87" s="67" t="s">
        <v>377</v>
      </c>
      <c r="L87" s="380">
        <f t="shared" si="18"/>
        <v>1537.57</v>
      </c>
      <c r="M87" s="381">
        <f t="shared" si="17"/>
        <v>2447.0105426094424</v>
      </c>
      <c r="N87" s="382"/>
      <c r="O87" s="67" t="str">
        <f>'Table 3'!K87</f>
        <v>Not commenced</v>
      </c>
      <c r="P87" s="67" t="s">
        <v>626</v>
      </c>
      <c r="Q87" s="67" t="str">
        <f>'Table 3'!N87</f>
        <v>Project name and description updated to conform with contemporary naming and description conventions</v>
      </c>
      <c r="R87" s="67" t="str">
        <f>'Table 3'!P87</f>
        <v>Toolern PSP Bridge Project Cost Sheets, Currie and Brown, 
November 2021</v>
      </c>
      <c r="S87" s="67"/>
      <c r="T87" s="67"/>
      <c r="U87" s="382"/>
      <c r="V87" s="67"/>
      <c r="W87" s="249"/>
    </row>
    <row r="88" spans="1:23" s="66" customFormat="1" ht="24" x14ac:dyDescent="0.2">
      <c r="A88" s="67" t="s">
        <v>297</v>
      </c>
      <c r="B88" s="67" t="s">
        <v>226</v>
      </c>
      <c r="C88" s="326" t="str">
        <f>'Table 3'!C88</f>
        <v>Deleted</v>
      </c>
      <c r="D88" s="378">
        <f>'Table 3'!D88</f>
        <v>0</v>
      </c>
      <c r="E88" s="378">
        <f>'Table 3'!E88</f>
        <v>0</v>
      </c>
      <c r="F88" s="378">
        <f t="shared" si="15"/>
        <v>0</v>
      </c>
      <c r="G88" s="379">
        <v>0</v>
      </c>
      <c r="H88" s="379"/>
      <c r="I88" s="378">
        <f t="shared" ref="I88:I92" si="19">F88-(F88*G88)</f>
        <v>0</v>
      </c>
      <c r="J88" s="67"/>
      <c r="K88" s="67"/>
      <c r="L88" s="380">
        <f t="shared" si="18"/>
        <v>1537.57</v>
      </c>
      <c r="M88" s="381">
        <f t="shared" si="17"/>
        <v>0</v>
      </c>
      <c r="N88" s="382"/>
      <c r="O88" s="67" t="str">
        <f>'Table 3'!K88</f>
        <v>Project deleted as it has been replaced by BD16</v>
      </c>
      <c r="P88" s="67" t="s">
        <v>626</v>
      </c>
      <c r="Q88" s="67"/>
      <c r="R88" s="67"/>
      <c r="S88" s="67" t="str">
        <f>'Table 3'!O88</f>
        <v>Project deleted as it has been replaced by BD16</v>
      </c>
      <c r="T88" s="67"/>
      <c r="U88" s="382"/>
      <c r="V88" s="67"/>
      <c r="W88" s="249"/>
    </row>
    <row r="89" spans="1:23" s="66" customFormat="1" ht="36" x14ac:dyDescent="0.2">
      <c r="A89" s="67" t="s">
        <v>298</v>
      </c>
      <c r="B89" s="67" t="s">
        <v>226</v>
      </c>
      <c r="C89" s="326" t="str">
        <f>'Table 3'!C89</f>
        <v>Pedestrian Underpass 3: Melbourne Ballarat Railway
Construction of a pedestrian underpass.</v>
      </c>
      <c r="D89" s="378">
        <f>'Table 3'!D89</f>
        <v>0</v>
      </c>
      <c r="E89" s="378">
        <f>'Table 3'!E89</f>
        <v>3762450</v>
      </c>
      <c r="F89" s="378">
        <f t="shared" si="15"/>
        <v>3762450</v>
      </c>
      <c r="G89" s="379">
        <v>0</v>
      </c>
      <c r="H89" s="379">
        <v>1</v>
      </c>
      <c r="I89" s="378">
        <f t="shared" si="16"/>
        <v>3762450</v>
      </c>
      <c r="J89" s="67" t="s">
        <v>376</v>
      </c>
      <c r="K89" s="67" t="s">
        <v>377</v>
      </c>
      <c r="L89" s="380">
        <f t="shared" si="18"/>
        <v>1537.57</v>
      </c>
      <c r="M89" s="381">
        <f t="shared" si="17"/>
        <v>2447.0105426094424</v>
      </c>
      <c r="N89" s="382"/>
      <c r="O89" s="67" t="str">
        <f>'Table 3'!K89</f>
        <v>Not commenced</v>
      </c>
      <c r="P89" s="67" t="s">
        <v>626</v>
      </c>
      <c r="Q89" s="67" t="str">
        <f>'Table 3'!N89</f>
        <v>Project name and description updated to conform with contemporary naming and description conventions</v>
      </c>
      <c r="R89" s="67" t="str">
        <f>'Table 3'!P89</f>
        <v>Toolern PSP Bridge Project Cost Sheets, Currie and Brown, 
November 2021</v>
      </c>
      <c r="S89" s="67"/>
      <c r="T89" s="67"/>
      <c r="U89" s="382"/>
      <c r="V89" s="67"/>
      <c r="W89" s="249"/>
    </row>
    <row r="90" spans="1:23" s="66" customFormat="1" ht="24" x14ac:dyDescent="0.2">
      <c r="A90" s="67" t="s">
        <v>299</v>
      </c>
      <c r="B90" s="67" t="s">
        <v>226</v>
      </c>
      <c r="C90" s="326" t="str">
        <f>'Table 3'!C90</f>
        <v>Deleted</v>
      </c>
      <c r="D90" s="378">
        <f>'Table 3'!D90</f>
        <v>0</v>
      </c>
      <c r="E90" s="378">
        <f>'Table 3'!E90</f>
        <v>0</v>
      </c>
      <c r="F90" s="378">
        <f t="shared" si="15"/>
        <v>0</v>
      </c>
      <c r="G90" s="379">
        <v>0</v>
      </c>
      <c r="H90" s="379"/>
      <c r="I90" s="378">
        <f t="shared" si="19"/>
        <v>0</v>
      </c>
      <c r="J90" s="67"/>
      <c r="K90" s="67"/>
      <c r="L90" s="380">
        <f t="shared" si="18"/>
        <v>1537.57</v>
      </c>
      <c r="M90" s="381">
        <f t="shared" si="17"/>
        <v>0</v>
      </c>
      <c r="N90" s="382"/>
      <c r="O90" s="67" t="str">
        <f>'Table 3'!K90</f>
        <v>Project deleted as this underpass will be included in the Paynes Road Station construction project</v>
      </c>
      <c r="P90" s="67" t="s">
        <v>626</v>
      </c>
      <c r="Q90" s="67"/>
      <c r="R90" s="67"/>
      <c r="S90" s="67" t="str">
        <f>'Table 3'!O90</f>
        <v>Project deleted as this underpass will be included in the Paynes Road Station construction project</v>
      </c>
      <c r="T90" s="67"/>
      <c r="U90" s="382"/>
      <c r="V90" s="67"/>
      <c r="W90" s="249"/>
    </row>
    <row r="91" spans="1:23" s="66" customFormat="1" ht="24" x14ac:dyDescent="0.2">
      <c r="A91" s="67" t="s">
        <v>300</v>
      </c>
      <c r="B91" s="67" t="s">
        <v>226</v>
      </c>
      <c r="C91" s="326" t="str">
        <f>'Table 3'!C91</f>
        <v>Deleted</v>
      </c>
      <c r="D91" s="378">
        <f>'Table 3'!D91</f>
        <v>0</v>
      </c>
      <c r="E91" s="378">
        <f>'Table 3'!E91</f>
        <v>0</v>
      </c>
      <c r="F91" s="378">
        <f t="shared" si="15"/>
        <v>0</v>
      </c>
      <c r="G91" s="379">
        <v>0</v>
      </c>
      <c r="H91" s="379"/>
      <c r="I91" s="378">
        <f t="shared" si="19"/>
        <v>0</v>
      </c>
      <c r="J91" s="67"/>
      <c r="K91" s="67"/>
      <c r="L91" s="380">
        <f t="shared" si="18"/>
        <v>1537.57</v>
      </c>
      <c r="M91" s="381">
        <f t="shared" si="17"/>
        <v>0</v>
      </c>
      <c r="N91" s="382"/>
      <c r="O91" s="67" t="str">
        <f>'Table 3'!K91</f>
        <v>Project deleted as this underpass will be included in the Paynes Road Station construction project</v>
      </c>
      <c r="P91" s="67" t="s">
        <v>626</v>
      </c>
      <c r="Q91" s="67"/>
      <c r="R91" s="67"/>
      <c r="S91" s="67" t="str">
        <f>'Table 3'!O91</f>
        <v>Project deleted as an adequate number of pedestrian crossings over the Toolern Creek have been provided</v>
      </c>
      <c r="T91" s="67"/>
      <c r="U91" s="382"/>
      <c r="V91" s="67"/>
      <c r="W91" s="249"/>
    </row>
    <row r="92" spans="1:23" s="66" customFormat="1" ht="24" x14ac:dyDescent="0.2">
      <c r="A92" s="67" t="s">
        <v>301</v>
      </c>
      <c r="B92" s="67" t="s">
        <v>226</v>
      </c>
      <c r="C92" s="326" t="str">
        <f>'Table 3'!C92</f>
        <v>Deleted</v>
      </c>
      <c r="D92" s="378">
        <f>'Table 3'!D92</f>
        <v>0</v>
      </c>
      <c r="E92" s="378">
        <f>'Table 3'!E92</f>
        <v>0</v>
      </c>
      <c r="F92" s="378">
        <f t="shared" si="15"/>
        <v>0</v>
      </c>
      <c r="G92" s="379">
        <v>0</v>
      </c>
      <c r="H92" s="379"/>
      <c r="I92" s="378">
        <f t="shared" si="19"/>
        <v>0</v>
      </c>
      <c r="J92" s="67"/>
      <c r="K92" s="67"/>
      <c r="L92" s="380">
        <f t="shared" si="18"/>
        <v>1537.57</v>
      </c>
      <c r="M92" s="381">
        <f t="shared" si="17"/>
        <v>0</v>
      </c>
      <c r="N92" s="382"/>
      <c r="O92" s="67" t="str">
        <f>'Table 3'!K92</f>
        <v>Project deleted as this underpass will be included in the Paynes Road Station construction project</v>
      </c>
      <c r="P92" s="67" t="s">
        <v>626</v>
      </c>
      <c r="Q92" s="67"/>
      <c r="R92" s="67"/>
      <c r="S92" s="67" t="str">
        <f>'Table 3'!O92</f>
        <v>Project deleted as an adequate number of pedestrian crossings over the Toolern Creek have been provided</v>
      </c>
      <c r="T92" s="67"/>
      <c r="U92" s="382"/>
      <c r="V92" s="67"/>
      <c r="W92" s="249"/>
    </row>
    <row r="93" spans="1:23" s="66" customFormat="1" ht="36" x14ac:dyDescent="0.2">
      <c r="A93" s="67" t="s">
        <v>302</v>
      </c>
      <c r="B93" s="67" t="s">
        <v>226</v>
      </c>
      <c r="C93" s="326" t="str">
        <f>'Table 3'!C93</f>
        <v>Shared Use Pedestrian Bridge 4: Toolern Creek
Construction of a shared use pedestrian bridge over the Toolern Creek.</v>
      </c>
      <c r="D93" s="378">
        <f>'Table 3'!D93</f>
        <v>0</v>
      </c>
      <c r="E93" s="378">
        <f>'Table 3'!E93</f>
        <v>1764829</v>
      </c>
      <c r="F93" s="378">
        <f t="shared" si="15"/>
        <v>1764829</v>
      </c>
      <c r="G93" s="379">
        <v>0</v>
      </c>
      <c r="H93" s="379">
        <v>1</v>
      </c>
      <c r="I93" s="378">
        <f t="shared" ref="I93:I100" si="20">F93*H93</f>
        <v>1764829</v>
      </c>
      <c r="J93" s="67" t="s">
        <v>376</v>
      </c>
      <c r="K93" s="67" t="s">
        <v>377</v>
      </c>
      <c r="L93" s="380">
        <f t="shared" si="18"/>
        <v>1537.57</v>
      </c>
      <c r="M93" s="381">
        <f t="shared" si="17"/>
        <v>1147.8040024194022</v>
      </c>
      <c r="N93" s="382"/>
      <c r="O93" s="67" t="str">
        <f>'Table 3'!K93</f>
        <v>Not commenced</v>
      </c>
      <c r="P93" s="67" t="s">
        <v>626</v>
      </c>
      <c r="Q93" s="67" t="str">
        <f>'Table 3'!N93</f>
        <v>Project name and description updated to conform with contemporary naming and description conventions</v>
      </c>
      <c r="R93" s="67" t="str">
        <f>'Table 3'!P93</f>
        <v>Toolern PSP Bridge Project Cost Sheets, Currie and Brown, 
November 2021</v>
      </c>
      <c r="S93" s="67"/>
      <c r="T93" s="67"/>
      <c r="U93" s="382"/>
      <c r="V93" s="67"/>
      <c r="W93" s="249"/>
    </row>
    <row r="94" spans="1:23" s="66" customFormat="1" ht="36" x14ac:dyDescent="0.2">
      <c r="A94" s="67" t="s">
        <v>507</v>
      </c>
      <c r="B94" s="67" t="s">
        <v>226</v>
      </c>
      <c r="C94" s="326" t="str">
        <f>'Table 3'!C94</f>
        <v>Ferris Road Rail Overpass
Rail-road grade separation at the intersection of Ferris Road and the Melbourne-Ballarat rail corridor.</v>
      </c>
      <c r="D94" s="378">
        <f>'Table 3'!D94</f>
        <v>0</v>
      </c>
      <c r="E94" s="378">
        <f>'Table 3'!E94</f>
        <v>0</v>
      </c>
      <c r="F94" s="378">
        <f t="shared" ref="F94:F100" si="21">D94+E94</f>
        <v>0</v>
      </c>
      <c r="G94" s="379">
        <v>0</v>
      </c>
      <c r="H94" s="379">
        <v>1</v>
      </c>
      <c r="I94" s="378">
        <f t="shared" si="20"/>
        <v>0</v>
      </c>
      <c r="J94" s="67" t="s">
        <v>376</v>
      </c>
      <c r="K94" s="67" t="s">
        <v>377</v>
      </c>
      <c r="L94" s="380">
        <f t="shared" si="18"/>
        <v>1537.57</v>
      </c>
      <c r="M94" s="381">
        <f t="shared" ref="M94:M100" si="22">I94/L94</f>
        <v>0</v>
      </c>
      <c r="N94" s="382"/>
      <c r="O94" s="67" t="str">
        <f>'Table 3'!K94</f>
        <v>New project from CMAC UDF</v>
      </c>
      <c r="P94" s="67" t="s">
        <v>626</v>
      </c>
      <c r="Q94" s="67"/>
      <c r="R94" s="67" t="str">
        <f>'Table 3'!P94</f>
        <v>Toolern PSP Bridge Project Cost Sheets, Currie and Brown, 
November 2021</v>
      </c>
      <c r="S94" s="67" t="str">
        <f>'Table 3'!O94</f>
        <v>New bridge project from the Cobblebank Metropolitan Activity Centre Urban Design Framework</v>
      </c>
      <c r="T94" s="67"/>
      <c r="U94" s="382"/>
      <c r="V94" s="67"/>
      <c r="W94" s="249"/>
    </row>
    <row r="95" spans="1:23" s="66" customFormat="1" ht="36" x14ac:dyDescent="0.2">
      <c r="A95" s="67" t="s">
        <v>508</v>
      </c>
      <c r="B95" s="67" t="s">
        <v>226</v>
      </c>
      <c r="C95" s="326" t="str">
        <f>'Table 3'!C95</f>
        <v>East Road Rail Overpass
Construction of a rail-road grade separation at the intersection of East Road and the Melbourne-Ballarat rail corridor (interim standard).</v>
      </c>
      <c r="D95" s="378">
        <f>'Table 3'!D95</f>
        <v>0</v>
      </c>
      <c r="E95" s="378">
        <f>'Table 3'!E95</f>
        <v>13833445</v>
      </c>
      <c r="F95" s="378">
        <f t="shared" si="21"/>
        <v>13833445</v>
      </c>
      <c r="G95" s="379">
        <v>0</v>
      </c>
      <c r="H95" s="379">
        <v>1</v>
      </c>
      <c r="I95" s="378">
        <f t="shared" si="20"/>
        <v>13833445</v>
      </c>
      <c r="J95" s="67" t="s">
        <v>376</v>
      </c>
      <c r="K95" s="67" t="s">
        <v>377</v>
      </c>
      <c r="L95" s="380">
        <f t="shared" si="18"/>
        <v>1537.57</v>
      </c>
      <c r="M95" s="381">
        <f t="shared" si="22"/>
        <v>8996.9529842543761</v>
      </c>
      <c r="N95" s="382"/>
      <c r="O95" s="67" t="str">
        <f>'Table 3'!K95</f>
        <v>New project from CMAC UDF</v>
      </c>
      <c r="P95" s="67" t="s">
        <v>626</v>
      </c>
      <c r="Q95" s="67"/>
      <c r="R95" s="67" t="str">
        <f>'Table 3'!P95</f>
        <v>Toolern PSP Bridge Project Cost Sheets, Currie and Brown, 
November 2021</v>
      </c>
      <c r="S95" s="67" t="str">
        <f>'Table 3'!O95</f>
        <v>New bridge project from the Cobblebank Metropolitan Activity Centre Urban Design Framework</v>
      </c>
      <c r="T95" s="67"/>
      <c r="U95" s="382"/>
      <c r="V95" s="67"/>
      <c r="W95" s="249"/>
    </row>
    <row r="96" spans="1:23" s="66" customFormat="1" ht="72" x14ac:dyDescent="0.2">
      <c r="A96" s="67" t="s">
        <v>509</v>
      </c>
      <c r="B96" s="67" t="s">
        <v>226</v>
      </c>
      <c r="C96" s="326" t="str">
        <f>'Table 3'!C96</f>
        <v>Paynes Road Rail Overpass
Construction of a rail-road grade separation at the intersection of Paynes Road and the Melbourne-Ballarat rail corridor (interim standard).</v>
      </c>
      <c r="D96" s="378">
        <f>'Table 3'!D96</f>
        <v>0</v>
      </c>
      <c r="E96" s="378">
        <f>'Table 3'!E96</f>
        <v>14876605</v>
      </c>
      <c r="F96" s="378">
        <f t="shared" si="21"/>
        <v>14876605</v>
      </c>
      <c r="G96" s="379">
        <v>0.75</v>
      </c>
      <c r="H96" s="379">
        <v>0.25</v>
      </c>
      <c r="I96" s="378">
        <f>F96*H96</f>
        <v>3719151.25</v>
      </c>
      <c r="J96" s="67" t="s">
        <v>376</v>
      </c>
      <c r="K96" s="67" t="s">
        <v>377</v>
      </c>
      <c r="L96" s="380">
        <f t="shared" si="18"/>
        <v>1537.57</v>
      </c>
      <c r="M96" s="381">
        <f t="shared" si="22"/>
        <v>2418.8500360959179</v>
      </c>
      <c r="N96" s="382"/>
      <c r="O96" s="67" t="str">
        <f>'Table 3'!K96</f>
        <v>New project from Rockbank DCP - BR04</v>
      </c>
      <c r="P96" s="67" t="s">
        <v>626</v>
      </c>
      <c r="Q96" s="67"/>
      <c r="R96" s="67" t="str">
        <f>'Table 3'!P96</f>
        <v>Rockbank Development Contributions Plan, VPA, August 2016
Indexed to $2021
Paynes Road Development Contributions Plan, Urban Enterprise, December 2019</v>
      </c>
      <c r="S96" s="67" t="str">
        <f>'Table 3'!O96</f>
        <v>Missing bridge project from the Rockbank Development Contributions Plan.</v>
      </c>
      <c r="T96" s="67" t="s">
        <v>654</v>
      </c>
      <c r="U96" s="382"/>
      <c r="V96" s="67"/>
      <c r="W96" s="249">
        <f>E96-I96</f>
        <v>11157453.75</v>
      </c>
    </row>
    <row r="97" spans="1:36" s="66" customFormat="1" ht="72" x14ac:dyDescent="0.2">
      <c r="A97" s="67" t="s">
        <v>510</v>
      </c>
      <c r="B97" s="67" t="s">
        <v>226</v>
      </c>
      <c r="C97" s="326" t="str">
        <f>'Table 3'!C97</f>
        <v>Paynes Road Level Crossing Upgrade
Construction of an upgrade to the level crossing at the intersection of Paynes Road and the Melbourne-Ballarat rail corridor, including automatic gates and pedestrian crossings (ultimate standard). 
Note: Paynes Road level crossing will be closed upon completion of the construction of the Paynes Road Overpass (BD17).</v>
      </c>
      <c r="D97" s="378">
        <f>'Table 3'!D97</f>
        <v>0</v>
      </c>
      <c r="E97" s="378">
        <f>'Table 3'!E97</f>
        <v>628069.88</v>
      </c>
      <c r="F97" s="378">
        <f t="shared" si="21"/>
        <v>628069.88</v>
      </c>
      <c r="G97" s="379">
        <v>0.75</v>
      </c>
      <c r="H97" s="379">
        <v>0.25</v>
      </c>
      <c r="I97" s="378">
        <f>F97*H97</f>
        <v>157017.47</v>
      </c>
      <c r="J97" s="67" t="s">
        <v>376</v>
      </c>
      <c r="K97" s="67" t="s">
        <v>377</v>
      </c>
      <c r="L97" s="380">
        <f t="shared" si="18"/>
        <v>1537.57</v>
      </c>
      <c r="M97" s="381">
        <f t="shared" si="22"/>
        <v>102.12053434965563</v>
      </c>
      <c r="N97" s="382"/>
      <c r="O97" s="67" t="str">
        <f>'Table 3'!K97</f>
        <v>New project from Rockbank DCP - BR07</v>
      </c>
      <c r="P97" s="67" t="s">
        <v>626</v>
      </c>
      <c r="Q97" s="67"/>
      <c r="R97" s="67" t="str">
        <f>'Table 3'!P97</f>
        <v>Rockbank Development Contributions Plan, VPA, August 2016
Indexed to $2021
Paynes Road Development Contributions Plan, Urban Enterprise, December 2020</v>
      </c>
      <c r="S97" s="67" t="str">
        <f>'Table 3'!O97</f>
        <v>Missing bridge project from the Rockbank Development Contributions Plan.</v>
      </c>
      <c r="T97" s="67" t="s">
        <v>654</v>
      </c>
      <c r="U97" s="382"/>
      <c r="V97" s="67"/>
      <c r="W97" s="249">
        <f>E97-I97</f>
        <v>471052.41000000003</v>
      </c>
    </row>
    <row r="98" spans="1:36" s="66" customFormat="1" ht="36" x14ac:dyDescent="0.2">
      <c r="A98" s="67" t="s">
        <v>515</v>
      </c>
      <c r="B98" s="67" t="s">
        <v>226</v>
      </c>
      <c r="C98" s="326" t="str">
        <f>'Table 3'!C98</f>
        <v>Mount Cottrell Road Freeway Interchange
Purchase of land for the construction of a half diamond interchange at the intersection of Mount Cottrell Road and the Western Freeway corridor (ultimate standard, southern approach only)</v>
      </c>
      <c r="D98" s="378">
        <f>'Table 3'!D98</f>
        <v>750000</v>
      </c>
      <c r="E98" s="378">
        <f>'Table 3'!E98</f>
        <v>0</v>
      </c>
      <c r="F98" s="378">
        <f t="shared" si="21"/>
        <v>750000</v>
      </c>
      <c r="G98" s="379">
        <v>0</v>
      </c>
      <c r="H98" s="379">
        <v>1</v>
      </c>
      <c r="I98" s="378">
        <f t="shared" si="20"/>
        <v>750000</v>
      </c>
      <c r="J98" s="67" t="s">
        <v>376</v>
      </c>
      <c r="K98" s="67" t="s">
        <v>377</v>
      </c>
      <c r="L98" s="380">
        <f t="shared" si="18"/>
        <v>1537.57</v>
      </c>
      <c r="M98" s="381">
        <f t="shared" si="22"/>
        <v>487.78267005729822</v>
      </c>
      <c r="N98" s="382"/>
      <c r="O98" s="67" t="str">
        <f>'Table 3'!K98</f>
        <v>New project from Paynes Road DCP</v>
      </c>
      <c r="P98" s="67" t="s">
        <v>626</v>
      </c>
      <c r="Q98" s="67"/>
      <c r="R98" s="67" t="str">
        <f>'Table 3'!P98</f>
        <v>No construction - land project only</v>
      </c>
      <c r="S98" s="67" t="str">
        <f>'Table 3'!O98</f>
        <v xml:space="preserve">Missing bridge project from the Paynes Road Precinct Structure Plan. </v>
      </c>
      <c r="T98" s="67"/>
      <c r="U98" s="382"/>
      <c r="V98" s="67"/>
      <c r="W98" s="249"/>
    </row>
    <row r="99" spans="1:36" s="66" customFormat="1" ht="36" x14ac:dyDescent="0.2">
      <c r="A99" s="67" t="s">
        <v>516</v>
      </c>
      <c r="B99" s="67" t="s">
        <v>226</v>
      </c>
      <c r="C99" s="326" t="str">
        <f>'Table 3'!C99</f>
        <v>Mount Cottrell Road Rail Overpass
Purchase of land for the construction of a rail-road grade separation at the intersection of Mount Cottrell Road and the Melbourne-Ballarat rail corridor (ultimate standard).</v>
      </c>
      <c r="D99" s="378">
        <f>'Table 3'!D99</f>
        <v>225000</v>
      </c>
      <c r="E99" s="378">
        <f>'Table 3'!E99</f>
        <v>0</v>
      </c>
      <c r="F99" s="378">
        <f t="shared" si="21"/>
        <v>225000</v>
      </c>
      <c r="G99" s="379">
        <v>0</v>
      </c>
      <c r="H99" s="379">
        <v>1</v>
      </c>
      <c r="I99" s="378">
        <f t="shared" si="20"/>
        <v>225000</v>
      </c>
      <c r="J99" s="67" t="s">
        <v>376</v>
      </c>
      <c r="K99" s="67" t="s">
        <v>377</v>
      </c>
      <c r="L99" s="380">
        <f t="shared" si="18"/>
        <v>1537.57</v>
      </c>
      <c r="M99" s="381">
        <f t="shared" si="22"/>
        <v>146.33480101718948</v>
      </c>
      <c r="N99" s="382"/>
      <c r="O99" s="67" t="str">
        <f>'Table 3'!K99</f>
        <v>New project from Paynes Road DCP
Land on east side acquired</v>
      </c>
      <c r="P99" s="67" t="s">
        <v>626</v>
      </c>
      <c r="Q99" s="67"/>
      <c r="R99" s="67" t="str">
        <f>'Table 3'!P99</f>
        <v>No construction - land project only</v>
      </c>
      <c r="S99" s="67" t="str">
        <f>'Table 3'!O99</f>
        <v>Missing bridge project from the Paynes Road Precinct Structure Plan.</v>
      </c>
      <c r="T99" s="67"/>
      <c r="U99" s="382"/>
      <c r="V99" s="67"/>
      <c r="W99" s="249"/>
    </row>
    <row r="100" spans="1:36" s="66" customFormat="1" ht="72" x14ac:dyDescent="0.2">
      <c r="A100" s="67" t="s">
        <v>517</v>
      </c>
      <c r="B100" s="67" t="s">
        <v>226</v>
      </c>
      <c r="C100" s="326" t="str">
        <f>'Table 3'!C100</f>
        <v>Mount Cottrell Road Level Crossing Upgrade
Construction of an upgrade to the level crossing at the intersection of Mount Cottrell Road and the Melbourne-Ballarat rail corridor, including automatic gates and pedestrian crossings (ultimate standard). 
Note: Mount Cottrell Road level crossing will be closed upon completion of the construction of the Mount Cottrell Road Overpass (BD20).</v>
      </c>
      <c r="D100" s="378">
        <f>'Table 3'!D100</f>
        <v>1000000</v>
      </c>
      <c r="E100" s="378">
        <f>'Table 3'!E100</f>
        <v>534196</v>
      </c>
      <c r="F100" s="378">
        <f t="shared" si="21"/>
        <v>1534196</v>
      </c>
      <c r="G100" s="379">
        <v>0.25</v>
      </c>
      <c r="H100" s="379">
        <v>0.75</v>
      </c>
      <c r="I100" s="378">
        <f t="shared" si="20"/>
        <v>1150647</v>
      </c>
      <c r="J100" s="67" t="s">
        <v>376</v>
      </c>
      <c r="K100" s="67" t="s">
        <v>377</v>
      </c>
      <c r="L100" s="380">
        <f t="shared" si="18"/>
        <v>1537.57</v>
      </c>
      <c r="M100" s="381">
        <f t="shared" si="22"/>
        <v>748.35422127122672</v>
      </c>
      <c r="N100" s="382"/>
      <c r="O100" s="67" t="str">
        <f>'Table 3'!K100</f>
        <v>New project from Paynes Road DCP</v>
      </c>
      <c r="P100" s="67" t="s">
        <v>626</v>
      </c>
      <c r="Q100" s="67"/>
      <c r="R100" s="67" t="str">
        <f>'Table 3'!P100</f>
        <v>Paynes Road Development Contributions Plan, Urban Enterprise, December 2020</v>
      </c>
      <c r="S100" s="67" t="str">
        <f>'Table 3'!O100</f>
        <v>Missing bridge project from the Paynes Road Precinct Structure Plan.</v>
      </c>
      <c r="T100" s="67" t="s">
        <v>658</v>
      </c>
      <c r="U100" s="382"/>
      <c r="V100" s="67"/>
      <c r="W100" s="249">
        <f>E100-I100</f>
        <v>-616451</v>
      </c>
    </row>
    <row r="101" spans="1:36" s="64" customFormat="1" x14ac:dyDescent="0.2">
      <c r="A101" s="383" t="s">
        <v>14</v>
      </c>
      <c r="B101" s="383"/>
      <c r="C101" s="383"/>
      <c r="D101" s="388">
        <f t="shared" ref="D101:F101" si="23">SUM(D80:D100)</f>
        <v>1975000</v>
      </c>
      <c r="E101" s="388">
        <f t="shared" si="23"/>
        <v>74636480.269999996</v>
      </c>
      <c r="F101" s="388">
        <f t="shared" si="23"/>
        <v>76611480.269999996</v>
      </c>
      <c r="G101" s="385"/>
      <c r="H101" s="385"/>
      <c r="I101" s="388">
        <f>SUM(I80:I100)</f>
        <v>64599425.109999999</v>
      </c>
      <c r="J101" s="236"/>
      <c r="K101" s="236"/>
      <c r="L101" s="383"/>
      <c r="M101" s="389"/>
      <c r="N101" s="391"/>
      <c r="O101" s="65"/>
      <c r="P101" s="65"/>
      <c r="Q101" s="65"/>
      <c r="R101" s="65"/>
      <c r="S101" s="65"/>
      <c r="T101" s="65"/>
      <c r="U101" s="383"/>
      <c r="V101" s="65"/>
      <c r="W101" s="252"/>
    </row>
    <row r="102" spans="1:36" s="86" customFormat="1" x14ac:dyDescent="0.2">
      <c r="A102" s="377" t="s">
        <v>303</v>
      </c>
      <c r="B102" s="82"/>
      <c r="C102" s="82"/>
      <c r="D102" s="313"/>
      <c r="E102" s="313"/>
      <c r="F102" s="313"/>
      <c r="G102" s="314"/>
      <c r="H102" s="314"/>
      <c r="I102" s="313"/>
      <c r="J102" s="82"/>
      <c r="K102" s="82"/>
      <c r="L102" s="82"/>
      <c r="M102" s="87"/>
      <c r="N102" s="476"/>
      <c r="O102" s="82"/>
      <c r="P102" s="82"/>
      <c r="Q102" s="82"/>
      <c r="R102" s="82"/>
      <c r="S102" s="82"/>
      <c r="T102" s="82"/>
      <c r="U102" s="248"/>
      <c r="V102" s="82"/>
      <c r="W102" s="251"/>
      <c r="X102" s="83"/>
      <c r="Y102" s="82"/>
      <c r="Z102" s="82"/>
      <c r="AA102" s="82"/>
      <c r="AB102" s="82"/>
      <c r="AC102" s="82"/>
      <c r="AD102" s="84"/>
      <c r="AE102" s="84"/>
      <c r="AF102" s="84"/>
      <c r="AG102" s="84"/>
      <c r="AH102" s="84"/>
      <c r="AI102" s="84"/>
      <c r="AJ102" s="85"/>
    </row>
    <row r="103" spans="1:36" s="66" customFormat="1" ht="24" x14ac:dyDescent="0.2">
      <c r="A103" s="67" t="s">
        <v>304</v>
      </c>
      <c r="B103" s="67" t="s">
        <v>219</v>
      </c>
      <c r="C103" s="326" t="str">
        <f>'Table 3'!C103</f>
        <v>Bus Interchange
Purchase land to provide for Local Bus Interchange (1 Hectare)</v>
      </c>
      <c r="D103" s="378">
        <f>'Table 3'!D103</f>
        <v>3300000</v>
      </c>
      <c r="E103" s="378">
        <f>'Table 3'!E103</f>
        <v>0</v>
      </c>
      <c r="F103" s="378">
        <f>D103+E103</f>
        <v>3300000</v>
      </c>
      <c r="G103" s="379">
        <v>0</v>
      </c>
      <c r="H103" s="379">
        <v>1</v>
      </c>
      <c r="I103" s="378">
        <f t="shared" ref="I103" si="24">F103*H103</f>
        <v>3300000</v>
      </c>
      <c r="J103" s="67" t="s">
        <v>376</v>
      </c>
      <c r="K103" s="67" t="s">
        <v>377</v>
      </c>
      <c r="L103" s="380">
        <f>L93</f>
        <v>1537.57</v>
      </c>
      <c r="M103" s="381">
        <f>I103/L103</f>
        <v>2146.2437482521123</v>
      </c>
      <c r="N103" s="382"/>
      <c r="O103" s="67" t="str">
        <f>'Table 3'!K103</f>
        <v>Land acquired</v>
      </c>
      <c r="P103" s="67" t="s">
        <v>626</v>
      </c>
      <c r="Q103" s="67" t="str">
        <f>'Table 3'!N103</f>
        <v>Project name and description updated to conform with contemporary naming and description conventions</v>
      </c>
      <c r="R103" s="67" t="str">
        <f>'Table 3'!P103</f>
        <v>No construction - land project only</v>
      </c>
      <c r="S103" s="67" t="s">
        <v>739</v>
      </c>
      <c r="T103" s="67"/>
      <c r="U103" s="382"/>
      <c r="V103" s="67"/>
      <c r="W103" s="249"/>
    </row>
    <row r="104" spans="1:36" s="64" customFormat="1" x14ac:dyDescent="0.2">
      <c r="A104" s="383" t="s">
        <v>14</v>
      </c>
      <c r="B104" s="383"/>
      <c r="C104" s="383"/>
      <c r="D104" s="384">
        <f>SUM(D103)</f>
        <v>3300000</v>
      </c>
      <c r="E104" s="384">
        <f t="shared" ref="E104:F104" si="25">SUM(E103)</f>
        <v>0</v>
      </c>
      <c r="F104" s="384">
        <f t="shared" si="25"/>
        <v>3300000</v>
      </c>
      <c r="G104" s="385"/>
      <c r="H104" s="385"/>
      <c r="I104" s="388"/>
      <c r="J104" s="236"/>
      <c r="K104" s="236"/>
      <c r="L104" s="236"/>
      <c r="M104" s="390"/>
      <c r="N104" s="391"/>
      <c r="O104" s="65"/>
      <c r="P104" s="65"/>
      <c r="Q104" s="65"/>
      <c r="R104" s="65"/>
      <c r="S104" s="65"/>
      <c r="T104" s="65"/>
      <c r="U104" s="383"/>
      <c r="V104" s="65"/>
      <c r="W104" s="252"/>
    </row>
    <row r="105" spans="1:36" s="86" customFormat="1" ht="36" x14ac:dyDescent="0.2">
      <c r="A105" s="377" t="s">
        <v>360</v>
      </c>
      <c r="B105" s="82"/>
      <c r="C105" s="82"/>
      <c r="D105" s="313"/>
      <c r="E105" s="313"/>
      <c r="F105" s="313"/>
      <c r="G105" s="314"/>
      <c r="H105" s="314"/>
      <c r="I105" s="313"/>
      <c r="J105" s="82"/>
      <c r="K105" s="82"/>
      <c r="L105" s="82"/>
      <c r="M105" s="87"/>
      <c r="N105" s="476"/>
      <c r="O105" s="82"/>
      <c r="P105" s="82"/>
      <c r="Q105" s="82"/>
      <c r="R105" s="82"/>
      <c r="S105" s="82"/>
      <c r="T105" s="82"/>
      <c r="U105" s="248"/>
      <c r="V105" s="82"/>
      <c r="W105" s="251"/>
      <c r="X105" s="83"/>
      <c r="Y105" s="82"/>
      <c r="Z105" s="82"/>
      <c r="AA105" s="82"/>
      <c r="AB105" s="82"/>
      <c r="AC105" s="82"/>
      <c r="AD105" s="84"/>
      <c r="AE105" s="84"/>
      <c r="AF105" s="84"/>
      <c r="AG105" s="84"/>
      <c r="AH105" s="84"/>
      <c r="AI105" s="84"/>
      <c r="AJ105" s="85"/>
    </row>
    <row r="106" spans="1:36" s="68" customFormat="1" ht="24" x14ac:dyDescent="0.2">
      <c r="A106" s="67" t="s">
        <v>361</v>
      </c>
      <c r="B106" s="67" t="s">
        <v>226</v>
      </c>
      <c r="C106" s="326" t="str">
        <f>'Table 3'!C106</f>
        <v>Weir Views North Sports Reserve
Purchase of 9.83 hectares of land for active open space for AR01 and AR02</v>
      </c>
      <c r="D106" s="378">
        <f>'Table 3'!D106</f>
        <v>19650000</v>
      </c>
      <c r="E106" s="378">
        <f>'Table 3'!E106</f>
        <v>0</v>
      </c>
      <c r="F106" s="378">
        <f>D106+E106</f>
        <v>19650000</v>
      </c>
      <c r="G106" s="379">
        <v>0.3</v>
      </c>
      <c r="H106" s="379">
        <v>0.7</v>
      </c>
      <c r="I106" s="378">
        <f t="shared" ref="I106:I114" si="26">F106*H106</f>
        <v>13755000</v>
      </c>
      <c r="J106" s="67" t="s">
        <v>380</v>
      </c>
      <c r="K106" s="67" t="s">
        <v>378</v>
      </c>
      <c r="L106" s="380">
        <f>'Tables 2'!AA24+'Tables 2'!AA107</f>
        <v>1104.01</v>
      </c>
      <c r="M106" s="381">
        <f>I106/L106</f>
        <v>12459.126276030109</v>
      </c>
      <c r="N106" s="391"/>
      <c r="O106" s="67" t="str">
        <f>'Table 3'!K106</f>
        <v>S173 Agreement to purchase land</v>
      </c>
      <c r="P106" s="244"/>
      <c r="Q106" s="67" t="str">
        <f>'Table 3'!N106</f>
        <v>Project name and description updated to conform with contemporary naming and description conventions</v>
      </c>
      <c r="R106" s="67" t="str">
        <f>'Table 3'!P106</f>
        <v>No construction - land project only</v>
      </c>
      <c r="S106" s="67"/>
      <c r="T106" s="392" t="s">
        <v>660</v>
      </c>
      <c r="U106" s="391"/>
      <c r="V106" s="244"/>
      <c r="W106" s="253"/>
    </row>
    <row r="107" spans="1:36" s="68" customFormat="1" ht="24" x14ac:dyDescent="0.2">
      <c r="A107" s="67" t="s">
        <v>362</v>
      </c>
      <c r="B107" s="67" t="s">
        <v>226</v>
      </c>
      <c r="C107" s="326" t="str">
        <f>'Table 3'!C107</f>
        <v>Weir Views East Sports Reserve
Purchase of 4.00 hectares of land for active open space for AR03 and AR04</v>
      </c>
      <c r="D107" s="378">
        <f>'Table 3'!D107</f>
        <v>9600000</v>
      </c>
      <c r="E107" s="378">
        <f>'Table 3'!E107</f>
        <v>0</v>
      </c>
      <c r="F107" s="378">
        <f t="shared" ref="F107:F114" si="27">D107+E107</f>
        <v>9600000</v>
      </c>
      <c r="G107" s="379">
        <v>0</v>
      </c>
      <c r="H107" s="379">
        <v>1</v>
      </c>
      <c r="I107" s="378">
        <f t="shared" si="26"/>
        <v>9600000</v>
      </c>
      <c r="J107" s="67" t="s">
        <v>380</v>
      </c>
      <c r="K107" s="67" t="s">
        <v>378</v>
      </c>
      <c r="L107" s="380">
        <f>L106</f>
        <v>1104.01</v>
      </c>
      <c r="M107" s="381">
        <f t="shared" ref="M107:M114" si="28">I107/L107</f>
        <v>8695.573409661145</v>
      </c>
      <c r="N107" s="391"/>
      <c r="O107" s="67" t="str">
        <f>'Table 3'!K107</f>
        <v>S173 Agreement to purchase land</v>
      </c>
      <c r="P107" s="244"/>
      <c r="Q107" s="67" t="str">
        <f>'Table 3'!N107</f>
        <v>Project name and description updated to conform with contemporary naming and description conventions</v>
      </c>
      <c r="R107" s="67" t="str">
        <f>'Table 3'!P107</f>
        <v>No construction - land project only</v>
      </c>
      <c r="S107" s="67" t="s">
        <v>739</v>
      </c>
      <c r="T107" s="244"/>
      <c r="U107" s="391"/>
      <c r="V107" s="244"/>
      <c r="W107" s="253"/>
    </row>
    <row r="108" spans="1:36" s="68" customFormat="1" ht="24" x14ac:dyDescent="0.2">
      <c r="A108" s="67" t="s">
        <v>363</v>
      </c>
      <c r="B108" s="67" t="s">
        <v>226</v>
      </c>
      <c r="C108" s="326" t="str">
        <f>'Table 3'!C108</f>
        <v>Weir Views South Sports Reserve
Purchase of 8.96 hectares of land for active open space for AR05 and AR06</v>
      </c>
      <c r="D108" s="378">
        <f>'Table 3'!D108</f>
        <v>17925000</v>
      </c>
      <c r="E108" s="378">
        <f>'Table 3'!E108</f>
        <v>0</v>
      </c>
      <c r="F108" s="378">
        <f t="shared" si="27"/>
        <v>17925000</v>
      </c>
      <c r="G108" s="379">
        <v>0</v>
      </c>
      <c r="H108" s="379">
        <v>1</v>
      </c>
      <c r="I108" s="378">
        <f t="shared" si="26"/>
        <v>17925000</v>
      </c>
      <c r="J108" s="67" t="s">
        <v>381</v>
      </c>
      <c r="K108" s="67" t="s">
        <v>378</v>
      </c>
      <c r="L108" s="380">
        <f t="shared" ref="L108:L111" si="29">L107</f>
        <v>1104.01</v>
      </c>
      <c r="M108" s="381">
        <f t="shared" si="28"/>
        <v>16236.265975851667</v>
      </c>
      <c r="N108" s="391"/>
      <c r="O108" s="67" t="str">
        <f>'Table 3'!K108</f>
        <v>Not acquired</v>
      </c>
      <c r="P108" s="244"/>
      <c r="Q108" s="67" t="str">
        <f>'Table 3'!N108</f>
        <v>Project name and description updated to conform with contemporary naming and description conventions</v>
      </c>
      <c r="R108" s="67" t="str">
        <f>'Table 3'!P108</f>
        <v>No construction - land project only</v>
      </c>
      <c r="S108" s="67"/>
      <c r="T108" s="244"/>
      <c r="U108" s="391"/>
      <c r="V108" s="244"/>
      <c r="W108" s="253"/>
    </row>
    <row r="109" spans="1:36" s="68" customFormat="1" ht="24" x14ac:dyDescent="0.2">
      <c r="A109" s="67" t="s">
        <v>364</v>
      </c>
      <c r="B109" s="67" t="s">
        <v>226</v>
      </c>
      <c r="C109" s="326" t="str">
        <f>'Table 3'!C109</f>
        <v>Strathtulloh Sports Reserve
Purchase of 8.62 hectares of land for active open space for AR07 and AR08</v>
      </c>
      <c r="D109" s="378">
        <f>'Table 3'!D109</f>
        <v>19825000</v>
      </c>
      <c r="E109" s="378">
        <f>'Table 3'!E109</f>
        <v>0</v>
      </c>
      <c r="F109" s="378">
        <f t="shared" si="27"/>
        <v>19825000</v>
      </c>
      <c r="G109" s="379">
        <v>0</v>
      </c>
      <c r="H109" s="379">
        <v>1</v>
      </c>
      <c r="I109" s="378">
        <f t="shared" si="26"/>
        <v>19825000</v>
      </c>
      <c r="J109" s="67" t="s">
        <v>381</v>
      </c>
      <c r="K109" s="67" t="s">
        <v>378</v>
      </c>
      <c r="L109" s="380">
        <f t="shared" si="29"/>
        <v>1104.01</v>
      </c>
      <c r="M109" s="381">
        <f t="shared" si="28"/>
        <v>17957.264879847102</v>
      </c>
      <c r="N109" s="391"/>
      <c r="O109" s="67" t="str">
        <f>'Table 3'!K109</f>
        <v>Not acquired</v>
      </c>
      <c r="P109" s="244"/>
      <c r="Q109" s="67" t="str">
        <f>'Table 3'!N109</f>
        <v>Project name and description updated to conform with contemporary naming and description conventions</v>
      </c>
      <c r="R109" s="67" t="str">
        <f>'Table 3'!P109</f>
        <v>No construction - land project only</v>
      </c>
      <c r="S109" s="67"/>
      <c r="T109" s="244"/>
      <c r="U109" s="391"/>
      <c r="V109" s="244"/>
      <c r="W109" s="253"/>
    </row>
    <row r="110" spans="1:36" s="68" customFormat="1" ht="24" x14ac:dyDescent="0.2">
      <c r="A110" s="67" t="s">
        <v>365</v>
      </c>
      <c r="B110" s="67" t="s">
        <v>226</v>
      </c>
      <c r="C110" s="326" t="str">
        <f>'Table 3'!C110</f>
        <v>Thornhill Park Sports Reserve
Purchase of 8.69 hectares of land for active open space for AR09 and AR10</v>
      </c>
      <c r="D110" s="378">
        <f>'Table 3'!D110</f>
        <v>19975000</v>
      </c>
      <c r="E110" s="378">
        <f>'Table 3'!E110</f>
        <v>0</v>
      </c>
      <c r="F110" s="378">
        <f t="shared" si="27"/>
        <v>19975000</v>
      </c>
      <c r="G110" s="379">
        <v>0</v>
      </c>
      <c r="H110" s="379">
        <v>1</v>
      </c>
      <c r="I110" s="378">
        <f t="shared" si="26"/>
        <v>19975000</v>
      </c>
      <c r="J110" s="67" t="s">
        <v>381</v>
      </c>
      <c r="K110" s="67" t="s">
        <v>378</v>
      </c>
      <c r="L110" s="380">
        <f t="shared" si="29"/>
        <v>1104.01</v>
      </c>
      <c r="M110" s="381">
        <f t="shared" si="28"/>
        <v>18093.133214373058</v>
      </c>
      <c r="N110" s="391"/>
      <c r="O110" s="67" t="str">
        <f>'Table 3'!K110</f>
        <v>Not acquired</v>
      </c>
      <c r="P110" s="244"/>
      <c r="Q110" s="67" t="str">
        <f>'Table 3'!N110</f>
        <v>Project name and description updated to conform with contemporary naming and description conventions</v>
      </c>
      <c r="R110" s="67" t="str">
        <f>'Table 3'!P110</f>
        <v>No construction - land project only</v>
      </c>
      <c r="S110" s="67"/>
      <c r="T110" s="244"/>
      <c r="U110" s="391"/>
      <c r="V110" s="244"/>
      <c r="W110" s="253"/>
    </row>
    <row r="111" spans="1:36" s="68" customFormat="1" ht="24" x14ac:dyDescent="0.2">
      <c r="A111" s="67" t="s">
        <v>366</v>
      </c>
      <c r="B111" s="67" t="s">
        <v>226</v>
      </c>
      <c r="C111" s="326" t="str">
        <f>'Table 3'!C111</f>
        <v>Cobblebank East Sports Reserve
Purchase of 4.56 hectares of land for active open space for AR11 and AR12</v>
      </c>
      <c r="D111" s="378">
        <f>'Table 3'!D111</f>
        <v>12300000</v>
      </c>
      <c r="E111" s="378">
        <f>'Table 3'!E111</f>
        <v>0</v>
      </c>
      <c r="F111" s="378">
        <f t="shared" si="27"/>
        <v>12300000</v>
      </c>
      <c r="G111" s="379">
        <v>0</v>
      </c>
      <c r="H111" s="379">
        <v>1</v>
      </c>
      <c r="I111" s="378">
        <f t="shared" si="26"/>
        <v>12300000</v>
      </c>
      <c r="J111" s="67" t="s">
        <v>381</v>
      </c>
      <c r="K111" s="67" t="s">
        <v>378</v>
      </c>
      <c r="L111" s="380">
        <f t="shared" si="29"/>
        <v>1104.01</v>
      </c>
      <c r="M111" s="381">
        <f t="shared" si="28"/>
        <v>11141.203431128341</v>
      </c>
      <c r="N111" s="391"/>
      <c r="O111" s="67" t="str">
        <f>'Table 3'!K111</f>
        <v>Not acquired</v>
      </c>
      <c r="P111" s="244"/>
      <c r="Q111" s="67" t="str">
        <f>'Table 3'!N111</f>
        <v>Project name and description updated to conform with contemporary naming and description conventions</v>
      </c>
      <c r="R111" s="67" t="str">
        <f>'Table 3'!P111</f>
        <v>No construction - land project only</v>
      </c>
      <c r="S111" s="67"/>
      <c r="T111" s="244"/>
      <c r="U111" s="391"/>
      <c r="V111" s="244"/>
      <c r="W111" s="253"/>
    </row>
    <row r="112" spans="1:36" s="68" customFormat="1" ht="24" x14ac:dyDescent="0.2">
      <c r="A112" s="67" t="s">
        <v>367</v>
      </c>
      <c r="B112" s="67" t="s">
        <v>226</v>
      </c>
      <c r="C112" s="326" t="str">
        <f>'Table 3'!C112</f>
        <v>Cobblebank Central Sports Reserve
Purchase of 8.19 hectares of land for active open space for AR13 and AR14. Area 2 Contributions (60%)</v>
      </c>
      <c r="D112" s="378">
        <f>'Table 3'!D112</f>
        <v>11295000</v>
      </c>
      <c r="E112" s="378">
        <f>'Table 3'!E112</f>
        <v>0</v>
      </c>
      <c r="F112" s="378">
        <f t="shared" si="27"/>
        <v>11295000</v>
      </c>
      <c r="G112" s="379">
        <v>0</v>
      </c>
      <c r="H112" s="379">
        <v>1</v>
      </c>
      <c r="I112" s="378">
        <f t="shared" si="26"/>
        <v>11295000</v>
      </c>
      <c r="J112" s="67" t="s">
        <v>385</v>
      </c>
      <c r="K112" s="67" t="s">
        <v>378</v>
      </c>
      <c r="L112" s="380">
        <f>'Tables 2'!AA107</f>
        <v>794.88000000000011</v>
      </c>
      <c r="M112" s="381">
        <f t="shared" si="28"/>
        <v>14209.692028985506</v>
      </c>
      <c r="N112" s="391"/>
      <c r="O112" s="67" t="str">
        <f>'Table 3'!K112</f>
        <v>Not acquired</v>
      </c>
      <c r="P112" s="244"/>
      <c r="Q112" s="67" t="str">
        <f>'Table 3'!N112</f>
        <v>Project name and description updated to conform with contemporary naming and description conventions</v>
      </c>
      <c r="R112" s="67" t="str">
        <f>'Table 3'!P112</f>
        <v>No construction - land project only</v>
      </c>
      <c r="S112" s="67"/>
      <c r="T112" s="244"/>
      <c r="U112" s="391"/>
      <c r="V112" s="244"/>
      <c r="W112" s="253"/>
    </row>
    <row r="113" spans="1:36" s="68" customFormat="1" ht="24" x14ac:dyDescent="0.2">
      <c r="A113" s="67" t="s">
        <v>368</v>
      </c>
      <c r="B113" s="67" t="s">
        <v>226</v>
      </c>
      <c r="C113" s="326" t="str">
        <f>'Table 3'!C113</f>
        <v>Cobblebank Central Sports Reserve
Purchase of 8.19 hectares of land for active open space for AR13 and AR14. Area 3 Contributions (40%)</v>
      </c>
      <c r="D113" s="378">
        <f>'Table 3'!D113</f>
        <v>7530000</v>
      </c>
      <c r="E113" s="378">
        <f>'Table 3'!E113</f>
        <v>0</v>
      </c>
      <c r="F113" s="378">
        <f t="shared" si="27"/>
        <v>7530000</v>
      </c>
      <c r="G113" s="379">
        <v>0</v>
      </c>
      <c r="H113" s="379">
        <v>1</v>
      </c>
      <c r="I113" s="378">
        <f t="shared" si="26"/>
        <v>7530000</v>
      </c>
      <c r="J113" s="67" t="s">
        <v>386</v>
      </c>
      <c r="K113" s="67" t="s">
        <v>378</v>
      </c>
      <c r="L113" s="380">
        <f>'Tables 2'!AA130</f>
        <v>85.460000000000008</v>
      </c>
      <c r="M113" s="381">
        <f t="shared" si="28"/>
        <v>88111.397144863091</v>
      </c>
      <c r="N113" s="391"/>
      <c r="O113" s="67" t="str">
        <f>'Table 3'!K113</f>
        <v>Not acquired</v>
      </c>
      <c r="P113" s="244"/>
      <c r="Q113" s="67" t="str">
        <f>'Table 3'!N113</f>
        <v>Project name and description updated to conform with contemporary naming and description conventions</v>
      </c>
      <c r="R113" s="67" t="str">
        <f>'Table 3'!P113</f>
        <v>No construction - land project only</v>
      </c>
      <c r="S113" s="67"/>
      <c r="T113" s="244"/>
      <c r="U113" s="391"/>
      <c r="V113" s="244"/>
      <c r="W113" s="253"/>
    </row>
    <row r="114" spans="1:36" s="68" customFormat="1" ht="24" x14ac:dyDescent="0.2">
      <c r="A114" s="67" t="s">
        <v>369</v>
      </c>
      <c r="B114" s="67" t="s">
        <v>226</v>
      </c>
      <c r="C114" s="326" t="str">
        <f>'Table 3'!C114</f>
        <v>Cobblebank MAC Open Space
Purchase of 1.0 hectare for Metropolitan Activity Centre Public Open Space</v>
      </c>
      <c r="D114" s="378">
        <f>'Table 3'!D114</f>
        <v>2700000</v>
      </c>
      <c r="E114" s="378">
        <f>'Table 3'!E114</f>
        <v>0</v>
      </c>
      <c r="F114" s="378">
        <f t="shared" si="27"/>
        <v>2700000</v>
      </c>
      <c r="G114" s="379">
        <v>0</v>
      </c>
      <c r="H114" s="379">
        <v>1</v>
      </c>
      <c r="I114" s="378">
        <f t="shared" si="26"/>
        <v>2700000</v>
      </c>
      <c r="J114" s="67" t="s">
        <v>376</v>
      </c>
      <c r="K114" s="67" t="s">
        <v>378</v>
      </c>
      <c r="L114" s="380">
        <f>L93</f>
        <v>1537.57</v>
      </c>
      <c r="M114" s="381">
        <f t="shared" si="28"/>
        <v>1756.0176122062735</v>
      </c>
      <c r="N114" s="391"/>
      <c r="O114" s="67" t="str">
        <f>'Table 3'!K114</f>
        <v>Not acquired</v>
      </c>
      <c r="P114" s="67" t="s">
        <v>626</v>
      </c>
      <c r="Q114" s="67" t="str">
        <f>'Table 3'!N114</f>
        <v>Project name and description updated to conform with contemporary naming and description conventions</v>
      </c>
      <c r="R114" s="67" t="str">
        <f>'Table 3'!P114</f>
        <v>No construction - land project only</v>
      </c>
      <c r="S114" s="67"/>
      <c r="T114" s="244"/>
      <c r="U114" s="391"/>
      <c r="V114" s="244"/>
      <c r="W114" s="253"/>
    </row>
    <row r="115" spans="1:36" s="64" customFormat="1" x14ac:dyDescent="0.2">
      <c r="A115" s="393" t="s">
        <v>14</v>
      </c>
      <c r="B115" s="394"/>
      <c r="C115" s="394"/>
      <c r="D115" s="384">
        <f>SUM(D106:D114)</f>
        <v>120800000</v>
      </c>
      <c r="E115" s="384">
        <f>SUM(E106:E114)</f>
        <v>0</v>
      </c>
      <c r="F115" s="384">
        <f>SUM(F106:F114)</f>
        <v>120800000</v>
      </c>
      <c r="G115" s="395"/>
      <c r="H115" s="395"/>
      <c r="I115" s="384">
        <f>SUM(I106:I114)</f>
        <v>114905000</v>
      </c>
      <c r="J115" s="65"/>
      <c r="K115" s="65"/>
      <c r="L115" s="65"/>
      <c r="M115" s="396"/>
      <c r="N115" s="391"/>
      <c r="O115" s="65"/>
      <c r="P115" s="65"/>
      <c r="Q115" s="65"/>
      <c r="R115" s="65"/>
      <c r="S115" s="65"/>
      <c r="T115" s="65"/>
      <c r="U115" s="383"/>
      <c r="V115" s="65"/>
      <c r="W115" s="252"/>
    </row>
    <row r="116" spans="1:36" s="86" customFormat="1" ht="48" x14ac:dyDescent="0.2">
      <c r="A116" s="377" t="s">
        <v>305</v>
      </c>
      <c r="B116" s="82"/>
      <c r="C116" s="82"/>
      <c r="D116" s="313"/>
      <c r="E116" s="313"/>
      <c r="F116" s="313"/>
      <c r="G116" s="314"/>
      <c r="H116" s="314"/>
      <c r="I116" s="313"/>
      <c r="J116" s="82"/>
      <c r="K116" s="82"/>
      <c r="L116" s="82"/>
      <c r="M116" s="87"/>
      <c r="N116" s="476"/>
      <c r="O116" s="82"/>
      <c r="P116" s="82"/>
      <c r="Q116" s="82"/>
      <c r="R116" s="82"/>
      <c r="S116" s="82"/>
      <c r="T116" s="82"/>
      <c r="U116" s="248"/>
      <c r="V116" s="82"/>
      <c r="W116" s="251"/>
      <c r="X116" s="83"/>
      <c r="Y116" s="82"/>
      <c r="Z116" s="82"/>
      <c r="AA116" s="82"/>
      <c r="AB116" s="82"/>
      <c r="AC116" s="82"/>
      <c r="AD116" s="84"/>
      <c r="AE116" s="84"/>
      <c r="AF116" s="84"/>
      <c r="AG116" s="84"/>
      <c r="AH116" s="84"/>
      <c r="AI116" s="84"/>
      <c r="AJ116" s="85"/>
    </row>
    <row r="117" spans="1:36" s="66" customFormat="1" ht="36" x14ac:dyDescent="0.2">
      <c r="A117" s="67" t="s">
        <v>306</v>
      </c>
      <c r="B117" s="67" t="s">
        <v>226</v>
      </c>
      <c r="C117" s="326" t="str">
        <f>'Table 3'!C117</f>
        <v>Cobblebank Higher Order Civic Facility
Higher Order Civic Facility, including a Level 3 Community Centre, located within the Metropolitan Activity Centre.</v>
      </c>
      <c r="D117" s="378">
        <f>'Table 3'!D117</f>
        <v>0</v>
      </c>
      <c r="E117" s="378">
        <f>'Table 3'!E117</f>
        <v>0</v>
      </c>
      <c r="F117" s="378">
        <f>D117+E117</f>
        <v>0</v>
      </c>
      <c r="G117" s="379">
        <v>0</v>
      </c>
      <c r="H117" s="379">
        <v>1</v>
      </c>
      <c r="I117" s="378">
        <f t="shared" ref="I117:I137" si="30">F117*H117</f>
        <v>0</v>
      </c>
      <c r="J117" s="67" t="s">
        <v>382</v>
      </c>
      <c r="K117" s="67" t="s">
        <v>379</v>
      </c>
      <c r="L117" s="397" t="s">
        <v>525</v>
      </c>
      <c r="M117" s="381" t="s">
        <v>525</v>
      </c>
      <c r="N117" s="382"/>
      <c r="O117" s="67" t="str">
        <f>'Table 3'!K117</f>
        <v>Not commenced</v>
      </c>
      <c r="P117" s="67"/>
      <c r="Q117" s="67" t="str">
        <f>'Table 3'!N117</f>
        <v>Project name and description updated to conform with contemporary naming and description conventions</v>
      </c>
      <c r="R117" s="67" t="str">
        <f>'Table 3'!P117</f>
        <v>No construction - land project only</v>
      </c>
      <c r="S117" s="67"/>
      <c r="T117" s="67"/>
      <c r="U117" s="382"/>
      <c r="V117" s="67"/>
      <c r="W117" s="249"/>
    </row>
    <row r="118" spans="1:36" s="66" customFormat="1" ht="24" x14ac:dyDescent="0.2">
      <c r="A118" s="67" t="s">
        <v>308</v>
      </c>
      <c r="B118" s="67" t="s">
        <v>226</v>
      </c>
      <c r="C118" s="326" t="str">
        <f>'Table 3'!C118</f>
        <v>Cobblebank Indoor Recreation Centre
Indoor Recreation Centre located within the Metropolitan Activity Centre.</v>
      </c>
      <c r="D118" s="378">
        <f>'Table 3'!D118</f>
        <v>0</v>
      </c>
      <c r="E118" s="378">
        <f>'Table 3'!E118</f>
        <v>0</v>
      </c>
      <c r="F118" s="378">
        <f t="shared" ref="F118:F138" si="31">D118+E118</f>
        <v>0</v>
      </c>
      <c r="G118" s="379">
        <v>0</v>
      </c>
      <c r="H118" s="379">
        <v>1</v>
      </c>
      <c r="I118" s="378">
        <f t="shared" si="30"/>
        <v>0</v>
      </c>
      <c r="J118" s="67" t="s">
        <v>382</v>
      </c>
      <c r="K118" s="67" t="s">
        <v>379</v>
      </c>
      <c r="L118" s="397" t="s">
        <v>525</v>
      </c>
      <c r="M118" s="381" t="s">
        <v>525</v>
      </c>
      <c r="N118" s="382"/>
      <c r="O118" s="67" t="str">
        <f>'Table 3'!K118</f>
        <v>Constructed</v>
      </c>
      <c r="P118" s="67"/>
      <c r="Q118" s="67" t="str">
        <f>'Table 3'!N118</f>
        <v>Project name and description updated to conform with contemporary naming and description conventions</v>
      </c>
      <c r="R118" s="67" t="str">
        <f>'Table 3'!P118</f>
        <v>No construction - land project only</v>
      </c>
      <c r="S118" s="67"/>
      <c r="T118" s="67"/>
      <c r="U118" s="382"/>
      <c r="V118" s="67"/>
      <c r="W118" s="249"/>
    </row>
    <row r="119" spans="1:36" s="66" customFormat="1" ht="36" x14ac:dyDescent="0.2">
      <c r="A119" s="67" t="s">
        <v>499</v>
      </c>
      <c r="B119" s="67" t="s">
        <v>226</v>
      </c>
      <c r="C119" s="326" t="str">
        <f>'Table 3'!C119</f>
        <v>Weir Views North Community Centre
Purchase of land and construction of a multi-purpose community centre (Level 1) in Community Hub 1 - early childhood rooms component - including kindergarten and maternal health.</v>
      </c>
      <c r="D119" s="378">
        <f>'Table 3'!D119</f>
        <v>2650000</v>
      </c>
      <c r="E119" s="378">
        <f>'Table 3'!E119</f>
        <v>8012730</v>
      </c>
      <c r="F119" s="378">
        <f t="shared" si="31"/>
        <v>10662730</v>
      </c>
      <c r="G119" s="379">
        <v>0.3</v>
      </c>
      <c r="H119" s="379">
        <v>0.7</v>
      </c>
      <c r="I119" s="378">
        <f t="shared" si="30"/>
        <v>7463910.9999999991</v>
      </c>
      <c r="J119" s="67" t="s">
        <v>383</v>
      </c>
      <c r="K119" s="67" t="s">
        <v>378</v>
      </c>
      <c r="L119" s="380">
        <f>'Tables 2'!AA24</f>
        <v>309.12999999999994</v>
      </c>
      <c r="M119" s="381">
        <f t="shared" ref="M119:M137" si="32">I119/L119</f>
        <v>24144.893734027759</v>
      </c>
      <c r="N119" s="382"/>
      <c r="O119" s="67" t="str">
        <f>'Table 3'!K119</f>
        <v>S173 Agreement to purchase land</v>
      </c>
      <c r="P119" s="67"/>
      <c r="Q119" s="67" t="str">
        <f>'Table 3'!N119</f>
        <v>Project name and description updated to conform with contemporary naming and description conventions</v>
      </c>
      <c r="R119" s="67" t="str">
        <f>'Table 3'!P119</f>
        <v>Toolern PSP Review - Community Infrastructure Recommendations Report, ASR, January 2021</v>
      </c>
      <c r="S119" s="67"/>
      <c r="T119" s="392" t="s">
        <v>660</v>
      </c>
      <c r="U119" s="382"/>
      <c r="V119" s="67"/>
      <c r="W119" s="249"/>
    </row>
    <row r="120" spans="1:36" s="66" customFormat="1" ht="36" x14ac:dyDescent="0.2">
      <c r="A120" s="67" t="s">
        <v>500</v>
      </c>
      <c r="B120" s="67" t="s">
        <v>226</v>
      </c>
      <c r="C120" s="326" t="str">
        <f>'Table 3'!C120</f>
        <v>Weir Views North Community Centre
Construction of a multi-purpose community centre (Level 1) in Community Hub 1 - community rooms component.</v>
      </c>
      <c r="D120" s="378">
        <f>'Table 3'!D120</f>
        <v>0</v>
      </c>
      <c r="E120" s="378">
        <f>'Table 3'!E120</f>
        <v>723419</v>
      </c>
      <c r="F120" s="378">
        <f t="shared" si="31"/>
        <v>723419</v>
      </c>
      <c r="G120" s="379">
        <v>0.3</v>
      </c>
      <c r="H120" s="379">
        <v>0.7</v>
      </c>
      <c r="I120" s="378" t="s">
        <v>388</v>
      </c>
      <c r="J120" s="67" t="s">
        <v>383</v>
      </c>
      <c r="K120" s="67" t="s">
        <v>378</v>
      </c>
      <c r="L120" s="380">
        <f>L119</f>
        <v>309.12999999999994</v>
      </c>
      <c r="M120" s="381" t="s">
        <v>388</v>
      </c>
      <c r="N120" s="382"/>
      <c r="O120" s="67" t="str">
        <f>'Table 3'!K120</f>
        <v>Not commenced</v>
      </c>
      <c r="P120" s="67"/>
      <c r="Q120" s="67" t="str">
        <f>'Table 3'!N120</f>
        <v>Project name and description updated to conform with contemporary naming and description conventions</v>
      </c>
      <c r="R120" s="67" t="str">
        <f>'Table 3'!P120</f>
        <v>Toolern PSP Review - Community Infrastructure Recommendations Report, ASR, January 2021</v>
      </c>
      <c r="S120" s="67"/>
      <c r="T120" s="392" t="s">
        <v>660</v>
      </c>
      <c r="U120" s="382"/>
      <c r="V120" s="67"/>
      <c r="W120" s="249"/>
    </row>
    <row r="121" spans="1:36" s="66" customFormat="1" ht="24" x14ac:dyDescent="0.2">
      <c r="A121" s="67" t="s">
        <v>518</v>
      </c>
      <c r="B121" s="67" t="str">
        <f>'Table 3'!B121</f>
        <v xml:space="preserve">Community </v>
      </c>
      <c r="C121" s="326" t="str">
        <f>'Table 3'!C121</f>
        <v>Deleted</v>
      </c>
      <c r="D121" s="378">
        <f>'Table 3'!D121</f>
        <v>0</v>
      </c>
      <c r="E121" s="378">
        <f>'Table 3'!E121</f>
        <v>0</v>
      </c>
      <c r="F121" s="378">
        <f>D121+E121</f>
        <v>0</v>
      </c>
      <c r="G121" s="379"/>
      <c r="H121" s="379"/>
      <c r="I121" s="378"/>
      <c r="J121" s="67"/>
      <c r="K121" s="67"/>
      <c r="L121" s="67"/>
      <c r="M121" s="381"/>
      <c r="N121" s="382"/>
      <c r="O121" s="67" t="str">
        <f>'Table 3'!K121</f>
        <v>Project deleted as Council does not include childcare rooms in early childhood centres</v>
      </c>
      <c r="P121" s="67"/>
      <c r="Q121" s="67"/>
      <c r="R121" s="67"/>
      <c r="S121" s="67" t="str">
        <f>'Table 3'!O121</f>
        <v>Project deleted as Council does not include childcare rooms in early childhood centres</v>
      </c>
      <c r="T121" s="67"/>
      <c r="U121" s="382"/>
      <c r="V121" s="67"/>
      <c r="W121" s="249"/>
    </row>
    <row r="122" spans="1:36" s="66" customFormat="1" ht="36" x14ac:dyDescent="0.2">
      <c r="A122" s="67" t="s">
        <v>501</v>
      </c>
      <c r="B122" s="67" t="s">
        <v>226</v>
      </c>
      <c r="C122" s="326" t="str">
        <f>'Table 3'!C122</f>
        <v>Weir Views South Community Centre
Purchase of land and construction of a multi-purpose community centre (Level 2) in Community Hub 2 - early childhood rooms component - including kindergarten and maternal health.</v>
      </c>
      <c r="D122" s="378">
        <f>'Table 3'!D122</f>
        <v>3100000</v>
      </c>
      <c r="E122" s="378">
        <f>'Table 3'!E122</f>
        <v>8993525</v>
      </c>
      <c r="F122" s="378">
        <f t="shared" si="31"/>
        <v>12093525</v>
      </c>
      <c r="G122" s="379">
        <v>0</v>
      </c>
      <c r="H122" s="379">
        <v>1</v>
      </c>
      <c r="I122" s="378">
        <f t="shared" si="30"/>
        <v>12093525</v>
      </c>
      <c r="J122" s="67" t="s">
        <v>384</v>
      </c>
      <c r="K122" s="67" t="s">
        <v>378</v>
      </c>
      <c r="L122" s="380">
        <f>L119</f>
        <v>309.12999999999994</v>
      </c>
      <c r="M122" s="381">
        <f t="shared" si="32"/>
        <v>39121.162617668946</v>
      </c>
      <c r="N122" s="382"/>
      <c r="O122" s="67" t="str">
        <f>'Table 3'!K122</f>
        <v>Not commenced</v>
      </c>
      <c r="P122" s="67"/>
      <c r="Q122" s="67" t="str">
        <f>'Table 3'!N122</f>
        <v>Project name and description updated to conform with contemporary naming and description conventions</v>
      </c>
      <c r="R122" s="67" t="str">
        <f>'Table 3'!P122</f>
        <v>Toolern PSP Review - Community Infrastructure Recommendations Report, ASR, January 2021</v>
      </c>
      <c r="S122" s="67"/>
      <c r="T122" s="67"/>
      <c r="U122" s="382"/>
      <c r="V122" s="67"/>
      <c r="W122" s="249"/>
    </row>
    <row r="123" spans="1:36" s="66" customFormat="1" ht="36" x14ac:dyDescent="0.2">
      <c r="A123" s="67" t="s">
        <v>315</v>
      </c>
      <c r="B123" s="67" t="s">
        <v>226</v>
      </c>
      <c r="C123" s="326" t="str">
        <f>'Table 3'!C123</f>
        <v>Weir Views South Community Centre
Construction of a multi-purpose community centre (Level 2) in Community Hub 2 - community rooms component.</v>
      </c>
      <c r="D123" s="378">
        <f>'Table 3'!D123</f>
        <v>0</v>
      </c>
      <c r="E123" s="378">
        <f>'Table 3'!E123</f>
        <v>1389726</v>
      </c>
      <c r="F123" s="378">
        <f t="shared" si="31"/>
        <v>1389726</v>
      </c>
      <c r="G123" s="379">
        <v>0</v>
      </c>
      <c r="H123" s="379">
        <v>1</v>
      </c>
      <c r="I123" s="378" t="s">
        <v>388</v>
      </c>
      <c r="J123" s="67" t="s">
        <v>384</v>
      </c>
      <c r="K123" s="67" t="s">
        <v>378</v>
      </c>
      <c r="L123" s="380">
        <f>L119</f>
        <v>309.12999999999994</v>
      </c>
      <c r="M123" s="381" t="s">
        <v>388</v>
      </c>
      <c r="N123" s="382"/>
      <c r="O123" s="67" t="str">
        <f>'Table 3'!K123</f>
        <v>Not commenced</v>
      </c>
      <c r="P123" s="67"/>
      <c r="Q123" s="67" t="str">
        <f>'Table 3'!N123</f>
        <v>Project name and description updated to conform with contemporary naming and description conventions</v>
      </c>
      <c r="R123" s="67" t="str">
        <f>'Table 3'!P123</f>
        <v>Toolern PSP Review - Community Infrastructure Recommendations Report, ASR, January 2021</v>
      </c>
      <c r="S123" s="67"/>
      <c r="T123" s="67"/>
      <c r="U123" s="382"/>
      <c r="V123" s="67"/>
      <c r="W123" s="249"/>
    </row>
    <row r="124" spans="1:36" s="66" customFormat="1" ht="24" x14ac:dyDescent="0.2">
      <c r="A124" s="67" t="s">
        <v>519</v>
      </c>
      <c r="B124" s="67" t="str">
        <f>'Table 3'!B124</f>
        <v xml:space="preserve">Community </v>
      </c>
      <c r="C124" s="326" t="str">
        <f>'Table 3'!C124</f>
        <v>Deleted</v>
      </c>
      <c r="D124" s="378">
        <f>'Table 3'!D124</f>
        <v>0</v>
      </c>
      <c r="E124" s="378">
        <f>'Table 3'!E124</f>
        <v>0</v>
      </c>
      <c r="F124" s="378">
        <f>D124+E124</f>
        <v>0</v>
      </c>
      <c r="G124" s="379">
        <v>0</v>
      </c>
      <c r="H124" s="379"/>
      <c r="I124" s="378"/>
      <c r="J124" s="67"/>
      <c r="K124" s="67"/>
      <c r="L124" s="67"/>
      <c r="M124" s="381"/>
      <c r="N124" s="382"/>
      <c r="O124" s="67" t="str">
        <f>'Table 3'!K124</f>
        <v>Project deleted as Council does not include childcare rooms in early childhood centres</v>
      </c>
      <c r="P124" s="67"/>
      <c r="Q124" s="67"/>
      <c r="R124" s="67"/>
      <c r="S124" s="67" t="str">
        <f>'Table 3'!O124</f>
        <v>Project deleted as Council does not include childcare rooms in early childhood centres</v>
      </c>
      <c r="T124" s="67"/>
      <c r="U124" s="382"/>
      <c r="V124" s="67"/>
      <c r="W124" s="249"/>
    </row>
    <row r="125" spans="1:36" s="66" customFormat="1" ht="36" x14ac:dyDescent="0.2">
      <c r="A125" s="67" t="s">
        <v>316</v>
      </c>
      <c r="B125" s="67" t="s">
        <v>226</v>
      </c>
      <c r="C125" s="326" t="str">
        <f>'Table 3'!C125</f>
        <v>Strathtulloh Community Centre
Purchase of land and construction of a multi-purpose community centre (Level 1) in Community Hub 3 - early childhood rooms component - including kindergarten and maternal health.</v>
      </c>
      <c r="D125" s="378">
        <f>'Table 3'!D125</f>
        <v>2800000</v>
      </c>
      <c r="E125" s="378">
        <f>'Table 3'!E125</f>
        <v>8012730</v>
      </c>
      <c r="F125" s="378">
        <f t="shared" si="31"/>
        <v>10812730</v>
      </c>
      <c r="G125" s="379">
        <v>0</v>
      </c>
      <c r="H125" s="379">
        <v>1</v>
      </c>
      <c r="I125" s="378">
        <f t="shared" si="30"/>
        <v>10812730</v>
      </c>
      <c r="J125" s="67" t="s">
        <v>385</v>
      </c>
      <c r="K125" s="67" t="s">
        <v>378</v>
      </c>
      <c r="L125" s="380">
        <f>'Tables 2'!AA107</f>
        <v>794.88000000000011</v>
      </c>
      <c r="M125" s="381">
        <f t="shared" si="32"/>
        <v>13602.971517713364</v>
      </c>
      <c r="N125" s="382"/>
      <c r="O125" s="67" t="str">
        <f>'Table 3'!K125</f>
        <v>Not commenced</v>
      </c>
      <c r="P125" s="67"/>
      <c r="Q125" s="67" t="str">
        <f>'Table 3'!N125</f>
        <v>Project name and description updated to conform with contemporary naming and description conventions</v>
      </c>
      <c r="R125" s="67" t="str">
        <f>'Table 3'!P125</f>
        <v>Toolern PSP Review - Community Infrastructure Recommendations Report, ASR, January 2021</v>
      </c>
      <c r="S125" s="67"/>
      <c r="T125" s="67"/>
      <c r="U125" s="382"/>
      <c r="V125" s="67"/>
      <c r="W125" s="249"/>
    </row>
    <row r="126" spans="1:36" s="66" customFormat="1" ht="36" x14ac:dyDescent="0.2">
      <c r="A126" s="67" t="s">
        <v>318</v>
      </c>
      <c r="B126" s="67" t="s">
        <v>226</v>
      </c>
      <c r="C126" s="326" t="str">
        <f>'Table 3'!C126</f>
        <v>Strathtulloh Community Centre
Construction of a multi-purpose community centre (Level 1) in Community Hub 3 - community rooms component.</v>
      </c>
      <c r="D126" s="378">
        <f>'Table 3'!D126</f>
        <v>0</v>
      </c>
      <c r="E126" s="378">
        <f>'Table 3'!E126</f>
        <v>723419</v>
      </c>
      <c r="F126" s="378">
        <f t="shared" si="31"/>
        <v>723419</v>
      </c>
      <c r="G126" s="379">
        <v>0</v>
      </c>
      <c r="H126" s="379">
        <v>1</v>
      </c>
      <c r="I126" s="378" t="s">
        <v>388</v>
      </c>
      <c r="J126" s="67" t="s">
        <v>385</v>
      </c>
      <c r="K126" s="67" t="s">
        <v>378</v>
      </c>
      <c r="L126" s="380">
        <f>L125</f>
        <v>794.88000000000011</v>
      </c>
      <c r="M126" s="381" t="s">
        <v>388</v>
      </c>
      <c r="N126" s="382"/>
      <c r="O126" s="67" t="str">
        <f>'Table 3'!K126</f>
        <v>Not commenced</v>
      </c>
      <c r="P126" s="67"/>
      <c r="Q126" s="67" t="str">
        <f>'Table 3'!N126</f>
        <v>Project name and description updated to conform with contemporary naming and description conventions</v>
      </c>
      <c r="R126" s="67" t="str">
        <f>'Table 3'!P126</f>
        <v>Toolern PSP Review - Community Infrastructure Recommendations Report, ASR, January 2021</v>
      </c>
      <c r="S126" s="67"/>
      <c r="T126" s="67"/>
      <c r="U126" s="382"/>
      <c r="V126" s="67"/>
      <c r="W126" s="249"/>
    </row>
    <row r="127" spans="1:36" s="66" customFormat="1" ht="24" x14ac:dyDescent="0.2">
      <c r="A127" s="67" t="s">
        <v>316</v>
      </c>
      <c r="B127" s="67" t="str">
        <f>'Table 3'!B127</f>
        <v xml:space="preserve">Community </v>
      </c>
      <c r="C127" s="326" t="str">
        <f>'Table 3'!C127</f>
        <v>Deleted</v>
      </c>
      <c r="D127" s="378">
        <f>'Table 3'!D127</f>
        <v>0</v>
      </c>
      <c r="E127" s="378">
        <f>'Table 3'!E127</f>
        <v>0</v>
      </c>
      <c r="F127" s="378">
        <f>D127+E127</f>
        <v>0</v>
      </c>
      <c r="G127" s="379">
        <v>0</v>
      </c>
      <c r="H127" s="379"/>
      <c r="I127" s="378"/>
      <c r="J127" s="67"/>
      <c r="K127" s="67"/>
      <c r="L127" s="67"/>
      <c r="M127" s="381"/>
      <c r="N127" s="382"/>
      <c r="O127" s="67" t="str">
        <f>'Table 3'!K127</f>
        <v>Project deleted as Council does not include childcare rooms in early childhood centres</v>
      </c>
      <c r="P127" s="67"/>
      <c r="Q127" s="67"/>
      <c r="R127" s="67"/>
      <c r="S127" s="67" t="str">
        <f>'Table 3'!O127</f>
        <v>Project deleted as Council does not include childcare rooms in early childhood centres</v>
      </c>
      <c r="T127" s="67"/>
      <c r="U127" s="382"/>
      <c r="V127" s="67"/>
      <c r="W127" s="249"/>
    </row>
    <row r="128" spans="1:36" s="66" customFormat="1" ht="36" x14ac:dyDescent="0.2">
      <c r="A128" s="67" t="s">
        <v>319</v>
      </c>
      <c r="B128" s="67" t="s">
        <v>226</v>
      </c>
      <c r="C128" s="326" t="str">
        <f>'Table 3'!C128</f>
        <v>Thornhill Park Community Centre
Purchase of land and construction of a multi-purpose community centre (Level 1) in Community Hub 4 - early childhood rooms component - including kindergarten and maternal health.</v>
      </c>
      <c r="D128" s="378">
        <f>'Table 3'!D128</f>
        <v>2800000</v>
      </c>
      <c r="E128" s="378">
        <f>'Table 3'!E128</f>
        <v>8012730</v>
      </c>
      <c r="F128" s="378">
        <f t="shared" si="31"/>
        <v>10812730</v>
      </c>
      <c r="G128" s="379">
        <v>0</v>
      </c>
      <c r="H128" s="379">
        <v>1</v>
      </c>
      <c r="I128" s="378">
        <f t="shared" si="30"/>
        <v>10812730</v>
      </c>
      <c r="J128" s="67" t="s">
        <v>385</v>
      </c>
      <c r="K128" s="67" t="s">
        <v>378</v>
      </c>
      <c r="L128" s="380">
        <f>L126</f>
        <v>794.88000000000011</v>
      </c>
      <c r="M128" s="381">
        <f t="shared" si="32"/>
        <v>13602.971517713364</v>
      </c>
      <c r="N128" s="382"/>
      <c r="O128" s="67" t="str">
        <f>'Table 3'!K128</f>
        <v>Not commenced</v>
      </c>
      <c r="P128" s="67"/>
      <c r="Q128" s="67" t="str">
        <f>'Table 3'!N128</f>
        <v>Project name and description updated to conform with contemporary naming and description conventions</v>
      </c>
      <c r="R128" s="67" t="str">
        <f>'Table 3'!P128</f>
        <v>Toolern PSP Review - Community Infrastructure Recommendations Report, ASR, January 2021</v>
      </c>
      <c r="S128" s="67"/>
      <c r="T128" s="67"/>
      <c r="U128" s="382"/>
      <c r="V128" s="67"/>
      <c r="W128" s="249"/>
    </row>
    <row r="129" spans="1:36" s="66" customFormat="1" ht="36" x14ac:dyDescent="0.2">
      <c r="A129" s="67" t="s">
        <v>320</v>
      </c>
      <c r="B129" s="67" t="s">
        <v>226</v>
      </c>
      <c r="C129" s="326" t="str">
        <f>'Table 3'!C129</f>
        <v>Thornhill Park Community Centre
Construction of a multi-purpose community centre (Level 1) in Community Hub 4 - community rooms component.</v>
      </c>
      <c r="D129" s="378">
        <f>'Table 3'!D129</f>
        <v>0</v>
      </c>
      <c r="E129" s="378">
        <f>'Table 3'!E129</f>
        <v>723419</v>
      </c>
      <c r="F129" s="378">
        <f t="shared" si="31"/>
        <v>723419</v>
      </c>
      <c r="G129" s="379">
        <v>0</v>
      </c>
      <c r="H129" s="379">
        <v>1</v>
      </c>
      <c r="I129" s="378" t="s">
        <v>388</v>
      </c>
      <c r="J129" s="67" t="s">
        <v>385</v>
      </c>
      <c r="K129" s="67" t="s">
        <v>378</v>
      </c>
      <c r="L129" s="380">
        <f t="shared" ref="L129:L132" si="33">L128</f>
        <v>794.88000000000011</v>
      </c>
      <c r="M129" s="381" t="s">
        <v>388</v>
      </c>
      <c r="N129" s="382"/>
      <c r="O129" s="67" t="str">
        <f>'Table 3'!K129</f>
        <v>Not commenced</v>
      </c>
      <c r="P129" s="67"/>
      <c r="Q129" s="67" t="str">
        <f>'Table 3'!N129</f>
        <v>Project name and description updated to conform with contemporary naming and description conventions</v>
      </c>
      <c r="R129" s="67" t="str">
        <f>'Table 3'!P129</f>
        <v>Toolern PSP Review - Community Infrastructure Recommendations Report, ASR, January 2021</v>
      </c>
      <c r="S129" s="67"/>
      <c r="T129" s="67"/>
      <c r="U129" s="382"/>
      <c r="V129" s="67"/>
      <c r="W129" s="249"/>
    </row>
    <row r="130" spans="1:36" s="66" customFormat="1" ht="24" x14ac:dyDescent="0.2">
      <c r="A130" s="67" t="s">
        <v>521</v>
      </c>
      <c r="B130" s="67" t="str">
        <f>'Table 3'!B130</f>
        <v xml:space="preserve">Community </v>
      </c>
      <c r="C130" s="326" t="str">
        <f>'Table 3'!C130</f>
        <v>Deleted</v>
      </c>
      <c r="D130" s="378">
        <f>'Table 3'!D130</f>
        <v>0</v>
      </c>
      <c r="E130" s="378">
        <f>'Table 3'!E130</f>
        <v>0</v>
      </c>
      <c r="F130" s="378">
        <f>D130+E130</f>
        <v>0</v>
      </c>
      <c r="G130" s="379">
        <v>0</v>
      </c>
      <c r="H130" s="379"/>
      <c r="I130" s="378"/>
      <c r="J130" s="67"/>
      <c r="K130" s="67"/>
      <c r="L130" s="67"/>
      <c r="M130" s="381"/>
      <c r="N130" s="382"/>
      <c r="O130" s="67" t="str">
        <f>'Table 3'!K130</f>
        <v>Project deleted as Council does not include childcare rooms in early childhood centres</v>
      </c>
      <c r="P130" s="67"/>
      <c r="Q130" s="67"/>
      <c r="R130" s="67"/>
      <c r="S130" s="67" t="str">
        <f>'Table 3'!O130</f>
        <v>Project deleted as Council does not include childcare rooms in early childhood centres</v>
      </c>
      <c r="T130" s="67"/>
      <c r="U130" s="382"/>
      <c r="V130" s="67"/>
      <c r="W130" s="249"/>
    </row>
    <row r="131" spans="1:36" s="66" customFormat="1" ht="36" x14ac:dyDescent="0.2">
      <c r="A131" s="67" t="s">
        <v>321</v>
      </c>
      <c r="B131" s="67" t="s">
        <v>226</v>
      </c>
      <c r="C131" s="326" t="str">
        <f>'Table 3'!C131</f>
        <v>Cobblebank East Community Centre
Purchase of land and construction of a multi-purpose community centre (Level 2) in Community Hub 5 - early childhood rooms component - including kindergarten and maternal health.</v>
      </c>
      <c r="D131" s="378">
        <f>'Table 3'!D131</f>
        <v>3300000</v>
      </c>
      <c r="E131" s="378">
        <f>'Table 3'!E131</f>
        <v>8993525</v>
      </c>
      <c r="F131" s="378">
        <f t="shared" si="31"/>
        <v>12293525</v>
      </c>
      <c r="G131" s="379">
        <v>0</v>
      </c>
      <c r="H131" s="379">
        <v>1</v>
      </c>
      <c r="I131" s="378">
        <f t="shared" si="30"/>
        <v>12293525</v>
      </c>
      <c r="J131" s="67" t="s">
        <v>385</v>
      </c>
      <c r="K131" s="67" t="s">
        <v>378</v>
      </c>
      <c r="L131" s="380">
        <f>L129</f>
        <v>794.88000000000011</v>
      </c>
      <c r="M131" s="381">
        <f t="shared" si="32"/>
        <v>15465.887932769725</v>
      </c>
      <c r="N131" s="382"/>
      <c r="O131" s="67" t="str">
        <f>'Table 3'!K131</f>
        <v>Not commenced</v>
      </c>
      <c r="P131" s="67"/>
      <c r="Q131" s="67" t="str">
        <f>'Table 3'!N131</f>
        <v>Project name and description updated to conform with contemporary naming and description conventions</v>
      </c>
      <c r="R131" s="67" t="str">
        <f>'Table 3'!P131</f>
        <v>Toolern PSP Review - Community Infrastructure Recommendations Report, ASR, January 2021</v>
      </c>
      <c r="S131" s="67"/>
      <c r="T131" s="67"/>
      <c r="U131" s="382"/>
      <c r="V131" s="67"/>
      <c r="W131" s="249"/>
    </row>
    <row r="132" spans="1:36" s="66" customFormat="1" ht="36" x14ac:dyDescent="0.2">
      <c r="A132" s="67" t="s">
        <v>322</v>
      </c>
      <c r="B132" s="67" t="s">
        <v>226</v>
      </c>
      <c r="C132" s="326" t="str">
        <f>'Table 3'!C132</f>
        <v>Cobblebank East Community Centre
Construction of a multi-purpose community centre (Level 2) in Community Hub 5 - community rooms component.</v>
      </c>
      <c r="D132" s="378">
        <f>'Table 3'!D132</f>
        <v>0</v>
      </c>
      <c r="E132" s="378">
        <f>'Table 3'!E132</f>
        <v>1389726</v>
      </c>
      <c r="F132" s="378">
        <f t="shared" si="31"/>
        <v>1389726</v>
      </c>
      <c r="G132" s="379">
        <v>0</v>
      </c>
      <c r="H132" s="379">
        <v>1</v>
      </c>
      <c r="I132" s="378" t="s">
        <v>388</v>
      </c>
      <c r="J132" s="67" t="s">
        <v>385</v>
      </c>
      <c r="K132" s="67" t="s">
        <v>378</v>
      </c>
      <c r="L132" s="380">
        <f t="shared" si="33"/>
        <v>794.88000000000011</v>
      </c>
      <c r="M132" s="381" t="s">
        <v>388</v>
      </c>
      <c r="N132" s="382"/>
      <c r="O132" s="67" t="str">
        <f>'Table 3'!K132</f>
        <v>Not commenced</v>
      </c>
      <c r="P132" s="67"/>
      <c r="Q132" s="67" t="str">
        <f>'Table 3'!N132</f>
        <v>Project name and description updated to conform with contemporary naming and description conventions</v>
      </c>
      <c r="R132" s="67" t="str">
        <f>'Table 3'!P132</f>
        <v>Toolern PSP Review - Community Infrastructure Recommendations Report, ASR, January 2021</v>
      </c>
      <c r="S132" s="67"/>
      <c r="T132" s="67"/>
      <c r="U132" s="382"/>
      <c r="V132" s="67"/>
      <c r="W132" s="249"/>
    </row>
    <row r="133" spans="1:36" s="66" customFormat="1" ht="24" x14ac:dyDescent="0.2">
      <c r="A133" s="67" t="s">
        <v>522</v>
      </c>
      <c r="B133" s="67" t="str">
        <f>'Table 3'!B133</f>
        <v xml:space="preserve">Community </v>
      </c>
      <c r="C133" s="326" t="str">
        <f>'Table 3'!C133</f>
        <v>Deleted</v>
      </c>
      <c r="D133" s="378">
        <f>'Table 3'!D133</f>
        <v>0</v>
      </c>
      <c r="E133" s="378">
        <f>'Table 3'!E133</f>
        <v>0</v>
      </c>
      <c r="F133" s="378">
        <f>D133+E133</f>
        <v>0</v>
      </c>
      <c r="G133" s="379">
        <v>0</v>
      </c>
      <c r="H133" s="379"/>
      <c r="I133" s="378"/>
      <c r="J133" s="67"/>
      <c r="K133" s="67"/>
      <c r="L133" s="67"/>
      <c r="M133" s="381"/>
      <c r="N133" s="382"/>
      <c r="O133" s="67" t="str">
        <f>'Table 3'!K133</f>
        <v>Project deleted as Council does not include childcare rooms in early childhood centres</v>
      </c>
      <c r="P133" s="67"/>
      <c r="Q133" s="67"/>
      <c r="R133" s="67"/>
      <c r="S133" s="67" t="str">
        <f>'Table 3'!O133</f>
        <v>Project deleted as Council does not include childcare rooms in early childhood centres</v>
      </c>
      <c r="T133" s="67"/>
      <c r="U133" s="382"/>
      <c r="V133" s="67"/>
      <c r="W133" s="249"/>
    </row>
    <row r="134" spans="1:36" s="66" customFormat="1" ht="48" x14ac:dyDescent="0.2">
      <c r="A134" s="67" t="s">
        <v>323</v>
      </c>
      <c r="B134" s="67" t="s">
        <v>226</v>
      </c>
      <c r="C134" s="326" t="str">
        <f>'Table 3'!C134</f>
        <v xml:space="preserve">Bridge Road Community Centre
Construction of a multi-purpose community centre (Level 2) in Community Hub 6 - early childhood components - including kindergarten and maternal health. 
Area 2 contribution (60%) </v>
      </c>
      <c r="D134" s="378">
        <f>'Table 3'!D134</f>
        <v>0</v>
      </c>
      <c r="E134" s="378">
        <f>'Table 3'!E134</f>
        <v>1283551.6299999999</v>
      </c>
      <c r="F134" s="378">
        <f t="shared" si="31"/>
        <v>1283551.6299999999</v>
      </c>
      <c r="G134" s="379">
        <v>0</v>
      </c>
      <c r="H134" s="379">
        <v>1</v>
      </c>
      <c r="I134" s="378">
        <f t="shared" si="30"/>
        <v>1283551.6299999999</v>
      </c>
      <c r="J134" s="67" t="s">
        <v>385</v>
      </c>
      <c r="K134" s="67" t="s">
        <v>378</v>
      </c>
      <c r="L134" s="380">
        <f>L132</f>
        <v>794.88000000000011</v>
      </c>
      <c r="M134" s="381">
        <f t="shared" si="32"/>
        <v>1614.7740916867951</v>
      </c>
      <c r="N134" s="382"/>
      <c r="O134" s="67" t="str">
        <f>'Table 3'!K134</f>
        <v>Constructed</v>
      </c>
      <c r="P134" s="67"/>
      <c r="Q134" s="67" t="str">
        <f>'Table 3'!N134</f>
        <v>Project name and description updated to conform with contemporary naming and description conventions</v>
      </c>
      <c r="R134" s="67" t="str">
        <f>'Table 3'!P134</f>
        <v>Constructed
Toolern Development Contributions Plan, VPA
Indexed to $2021</v>
      </c>
      <c r="S134" s="67" t="s">
        <v>514</v>
      </c>
      <c r="T134" s="67"/>
      <c r="U134" s="382"/>
      <c r="V134" s="67"/>
      <c r="W134" s="249"/>
    </row>
    <row r="135" spans="1:36" s="66" customFormat="1" ht="48" x14ac:dyDescent="0.2">
      <c r="A135" s="67" t="s">
        <v>324</v>
      </c>
      <c r="B135" s="67" t="s">
        <v>226</v>
      </c>
      <c r="C135" s="326" t="str">
        <f>'Table 3'!C135</f>
        <v>Bridge Road Community Centre
Construction of a multi-purpose community centre (Level 2) in Community Hub 6 - early childhood components - including kindergarten and maternal health. 
Area 3 contribution (40%)</v>
      </c>
      <c r="D135" s="378">
        <f>'Table 3'!D135</f>
        <v>0</v>
      </c>
      <c r="E135" s="378">
        <f>'Table 3'!E135</f>
        <v>638334.88</v>
      </c>
      <c r="F135" s="378">
        <f t="shared" si="31"/>
        <v>638334.88</v>
      </c>
      <c r="G135" s="379">
        <v>0</v>
      </c>
      <c r="H135" s="379">
        <v>1</v>
      </c>
      <c r="I135" s="378">
        <f t="shared" si="30"/>
        <v>638334.88</v>
      </c>
      <c r="J135" s="67" t="s">
        <v>386</v>
      </c>
      <c r="K135" s="67" t="s">
        <v>378</v>
      </c>
      <c r="L135" s="380">
        <f>'Tables 2'!AA130</f>
        <v>85.460000000000008</v>
      </c>
      <c r="M135" s="381">
        <f t="shared" si="32"/>
        <v>7469.3994851392454</v>
      </c>
      <c r="N135" s="382"/>
      <c r="O135" s="67" t="str">
        <f>'Table 3'!K135</f>
        <v>Constructed</v>
      </c>
      <c r="P135" s="67"/>
      <c r="Q135" s="67" t="str">
        <f>'Table 3'!N135</f>
        <v>Project name and description updated to conform with contemporary naming and description conventions</v>
      </c>
      <c r="R135" s="67" t="str">
        <f>'Table 3'!P135</f>
        <v>Constructed
Toolern Development Contributions Plan, VPA
Indexed to $2021</v>
      </c>
      <c r="S135" s="67" t="s">
        <v>514</v>
      </c>
      <c r="T135" s="67"/>
      <c r="U135" s="382"/>
      <c r="V135" s="67"/>
      <c r="W135" s="249"/>
    </row>
    <row r="136" spans="1:36" s="66" customFormat="1" ht="48" x14ac:dyDescent="0.2">
      <c r="A136" s="67" t="s">
        <v>326</v>
      </c>
      <c r="B136" s="67" t="s">
        <v>226</v>
      </c>
      <c r="C136" s="326" t="str">
        <f>'Table 3'!C136</f>
        <v xml:space="preserve">Bridge Road Community Centre
Purchase of land and construction of a multi-purpose community centre (Level 2) in Community Hub 6 - childcare components. 
Area 2 contribution (60%) </v>
      </c>
      <c r="D136" s="378">
        <f>'Table 3'!D136</f>
        <v>1680000</v>
      </c>
      <c r="E136" s="378">
        <f>'Table 3'!E136</f>
        <v>1742539.08</v>
      </c>
      <c r="F136" s="378">
        <f t="shared" si="31"/>
        <v>3422539.08</v>
      </c>
      <c r="G136" s="379">
        <v>0</v>
      </c>
      <c r="H136" s="379">
        <v>1</v>
      </c>
      <c r="I136" s="378">
        <f t="shared" si="30"/>
        <v>3422539.08</v>
      </c>
      <c r="J136" s="67" t="s">
        <v>385</v>
      </c>
      <c r="K136" s="67" t="s">
        <v>378</v>
      </c>
      <c r="L136" s="380">
        <f>L134</f>
        <v>794.88000000000011</v>
      </c>
      <c r="M136" s="381">
        <f t="shared" si="32"/>
        <v>4305.7305253623181</v>
      </c>
      <c r="N136" s="382"/>
      <c r="O136" s="67" t="str">
        <f>'Table 3'!K136</f>
        <v>Constructed</v>
      </c>
      <c r="P136" s="67"/>
      <c r="Q136" s="67" t="str">
        <f>'Table 3'!N136</f>
        <v>Project name and description updated to conform with contemporary naming and description conventions</v>
      </c>
      <c r="R136" s="67" t="str">
        <f>'Table 3'!P136</f>
        <v>Constructed
Toolern Development Contributions Plan, VPA
Indexed to $2021</v>
      </c>
      <c r="S136" s="67" t="s">
        <v>514</v>
      </c>
      <c r="T136" s="67"/>
      <c r="U136" s="382"/>
      <c r="V136" s="67"/>
      <c r="W136" s="249"/>
    </row>
    <row r="137" spans="1:36" s="66" customFormat="1" ht="48" x14ac:dyDescent="0.2">
      <c r="A137" s="67" t="s">
        <v>327</v>
      </c>
      <c r="B137" s="67" t="s">
        <v>226</v>
      </c>
      <c r="C137" s="326" t="str">
        <f>'Table 3'!C137</f>
        <v xml:space="preserve">Bridge Road Community Centre
Purchase of land and construction of a multi-purpose community centre (Level 2) in Community Hub 6 - childcare components. 
Area 3 contribution (40%) </v>
      </c>
      <c r="D137" s="378">
        <f>'Table 3'!D137</f>
        <v>1120000</v>
      </c>
      <c r="E137" s="378">
        <f>'Table 3'!E137</f>
        <v>1161692.27</v>
      </c>
      <c r="F137" s="378">
        <f t="shared" si="31"/>
        <v>2281692.27</v>
      </c>
      <c r="G137" s="379">
        <v>0</v>
      </c>
      <c r="H137" s="379">
        <v>1</v>
      </c>
      <c r="I137" s="378">
        <f t="shared" si="30"/>
        <v>2281692.27</v>
      </c>
      <c r="J137" s="67" t="s">
        <v>386</v>
      </c>
      <c r="K137" s="67" t="s">
        <v>378</v>
      </c>
      <c r="L137" s="380">
        <f>L135</f>
        <v>85.460000000000008</v>
      </c>
      <c r="M137" s="381">
        <f t="shared" si="32"/>
        <v>26698.950035104139</v>
      </c>
      <c r="N137" s="382"/>
      <c r="O137" s="67" t="str">
        <f>'Table 3'!K137</f>
        <v>Constructed</v>
      </c>
      <c r="P137" s="67"/>
      <c r="Q137" s="67" t="str">
        <f>'Table 3'!N137</f>
        <v>Project name and description updated to conform with contemporary naming and description conventions</v>
      </c>
      <c r="R137" s="67" t="str">
        <f>'Table 3'!P137</f>
        <v>Constructed
Toolern Development Contributions Plan, VPA
Indexed to $2021</v>
      </c>
      <c r="S137" s="67" t="s">
        <v>514</v>
      </c>
      <c r="T137" s="67"/>
      <c r="U137" s="382"/>
      <c r="V137" s="67"/>
      <c r="W137" s="249"/>
    </row>
    <row r="138" spans="1:36" s="66" customFormat="1" ht="36" x14ac:dyDescent="0.2">
      <c r="A138" s="67" t="s">
        <v>328</v>
      </c>
      <c r="B138" s="67" t="s">
        <v>313</v>
      </c>
      <c r="C138" s="326" t="str">
        <f>'Table 3'!C138</f>
        <v>Bridge Road Community Centre
Construction of a multi-purpose community centre (Level 2) in Community Hub 6 - community rooms component</v>
      </c>
      <c r="D138" s="378">
        <f>'Table 3'!D138</f>
        <v>0</v>
      </c>
      <c r="E138" s="378">
        <f>'Table 3'!E138</f>
        <v>1936153.79</v>
      </c>
      <c r="F138" s="378">
        <f t="shared" si="31"/>
        <v>1936153.79</v>
      </c>
      <c r="G138" s="379">
        <v>0</v>
      </c>
      <c r="H138" s="379">
        <v>1</v>
      </c>
      <c r="I138" s="378" t="s">
        <v>388</v>
      </c>
      <c r="J138" s="67" t="s">
        <v>387</v>
      </c>
      <c r="K138" s="67" t="s">
        <v>378</v>
      </c>
      <c r="L138" s="380">
        <f>'Tables 2'!AA107+'Tables 2'!AA130</f>
        <v>880.34000000000015</v>
      </c>
      <c r="M138" s="381" t="s">
        <v>388</v>
      </c>
      <c r="N138" s="382"/>
      <c r="O138" s="67" t="str">
        <f>'Table 3'!K138</f>
        <v>Constructed</v>
      </c>
      <c r="P138" s="67"/>
      <c r="Q138" s="67" t="str">
        <f>'Table 3'!N138</f>
        <v>Project name and description updated to conform with contemporary naming and description conventions</v>
      </c>
      <c r="R138" s="67" t="str">
        <f>'Table 3'!P138</f>
        <v>Constructed
Toolern Development Contributions Plan, VPA
Indexed to $2021</v>
      </c>
      <c r="S138" s="67" t="s">
        <v>514</v>
      </c>
      <c r="T138" s="67"/>
      <c r="U138" s="382"/>
      <c r="V138" s="67"/>
      <c r="W138" s="249"/>
    </row>
    <row r="139" spans="1:36" s="64" customFormat="1" x14ac:dyDescent="0.2">
      <c r="A139" s="383" t="s">
        <v>14</v>
      </c>
      <c r="B139" s="383"/>
      <c r="C139" s="383"/>
      <c r="D139" s="398">
        <f>SUM(D117:D138)</f>
        <v>17450000</v>
      </c>
      <c r="E139" s="398">
        <f>SUM(E117:E138)</f>
        <v>53737220.650000006</v>
      </c>
      <c r="F139" s="398">
        <f>SUM(F117:F138)</f>
        <v>71187220.650000006</v>
      </c>
      <c r="G139" s="385"/>
      <c r="H139" s="385"/>
      <c r="I139" s="388">
        <f>SUM(I117:I138)</f>
        <v>61102538.860000007</v>
      </c>
      <c r="J139" s="236"/>
      <c r="K139" s="236"/>
      <c r="L139" s="236"/>
      <c r="M139" s="390"/>
      <c r="N139" s="391"/>
      <c r="O139" s="65"/>
      <c r="P139" s="65"/>
      <c r="Q139" s="65"/>
      <c r="R139" s="65"/>
      <c r="S139" s="65"/>
      <c r="T139" s="65"/>
      <c r="U139" s="383"/>
      <c r="V139" s="65"/>
      <c r="W139" s="252"/>
    </row>
    <row r="140" spans="1:36" s="86" customFormat="1" ht="24" x14ac:dyDescent="0.2">
      <c r="A140" s="377" t="s">
        <v>330</v>
      </c>
      <c r="B140" s="82"/>
      <c r="C140" s="82"/>
      <c r="D140" s="313"/>
      <c r="E140" s="313"/>
      <c r="F140" s="313"/>
      <c r="G140" s="314"/>
      <c r="H140" s="314"/>
      <c r="I140" s="313"/>
      <c r="J140" s="82"/>
      <c r="K140" s="82"/>
      <c r="L140" s="82"/>
      <c r="M140" s="87"/>
      <c r="N140" s="476"/>
      <c r="O140" s="82"/>
      <c r="P140" s="82"/>
      <c r="Q140" s="82"/>
      <c r="R140" s="82"/>
      <c r="S140" s="82"/>
      <c r="T140" s="82"/>
      <c r="U140" s="248"/>
      <c r="V140" s="82"/>
      <c r="W140" s="251"/>
      <c r="X140" s="83"/>
      <c r="Y140" s="82"/>
      <c r="Z140" s="82"/>
      <c r="AA140" s="82"/>
      <c r="AB140" s="82"/>
      <c r="AC140" s="82"/>
      <c r="AD140" s="84"/>
      <c r="AE140" s="84"/>
      <c r="AF140" s="84"/>
      <c r="AG140" s="84"/>
      <c r="AH140" s="84"/>
      <c r="AI140" s="84"/>
      <c r="AJ140" s="85"/>
    </row>
    <row r="141" spans="1:36" s="66" customFormat="1" ht="84" x14ac:dyDescent="0.2">
      <c r="A141" s="67" t="s">
        <v>331</v>
      </c>
      <c r="B141" s="67" t="s">
        <v>226</v>
      </c>
      <c r="C141" s="326" t="str">
        <f>'Table 3'!C141</f>
        <v>Weir Views North Sports Reserve
Construction of a sports reserve in Community Hub 1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</v>
      </c>
      <c r="D141" s="378">
        <f>'Table 3'!D141</f>
        <v>0</v>
      </c>
      <c r="E141" s="378">
        <f>'Table 3'!E141</f>
        <v>11020402</v>
      </c>
      <c r="F141" s="378">
        <f>D141+E141</f>
        <v>11020402</v>
      </c>
      <c r="G141" s="379">
        <v>0.3</v>
      </c>
      <c r="H141" s="379">
        <v>0.7</v>
      </c>
      <c r="I141" s="378">
        <f t="shared" ref="I141:I156" si="34">F141*H141</f>
        <v>7714281.3999999994</v>
      </c>
      <c r="J141" s="67" t="s">
        <v>389</v>
      </c>
      <c r="K141" s="67" t="s">
        <v>378</v>
      </c>
      <c r="L141" s="380">
        <f>L111</f>
        <v>1104.01</v>
      </c>
      <c r="M141" s="381">
        <f>I141/L141</f>
        <v>6987.510439217036</v>
      </c>
      <c r="N141" s="382"/>
      <c r="O141" s="67" t="str">
        <f>'Table 3'!K141</f>
        <v>Not commenced</v>
      </c>
      <c r="P141" s="67"/>
      <c r="Q141" s="67" t="str">
        <f>'Table 3'!N141</f>
        <v>Project name and description updated to conform with contemporary naming and description conventions</v>
      </c>
      <c r="R141" s="67" t="str">
        <f>'Table 3'!P141</f>
        <v>VPA Benchmark Infrastructure Report, Cardno, April 2019
Indexed to $2021
8-10 Ha Sports and Recreation Facility</v>
      </c>
      <c r="S141" s="67"/>
      <c r="T141" s="392" t="s">
        <v>660</v>
      </c>
      <c r="U141" s="382"/>
      <c r="V141" s="67"/>
      <c r="W141" s="249"/>
    </row>
    <row r="142" spans="1:36" s="66" customFormat="1" ht="36" x14ac:dyDescent="0.2">
      <c r="A142" s="67" t="s">
        <v>334</v>
      </c>
      <c r="B142" s="67" t="s">
        <v>313</v>
      </c>
      <c r="C142" s="326" t="str">
        <f>'Table 3'!C142</f>
        <v>Weir Views North Sports Reserve Pavilion 
Construction of a pavilion in Community Hub 1, including all building works, landscaping, and related infrastructure</v>
      </c>
      <c r="D142" s="378">
        <f>'Table 3'!D142</f>
        <v>0</v>
      </c>
      <c r="E142" s="378">
        <f>'Table 3'!E142</f>
        <v>1762413</v>
      </c>
      <c r="F142" s="378">
        <f t="shared" ref="F142:F157" si="35">D142+E142</f>
        <v>1762413</v>
      </c>
      <c r="G142" s="379">
        <v>0.3</v>
      </c>
      <c r="H142" s="379">
        <v>0.7</v>
      </c>
      <c r="I142" s="378" t="s">
        <v>388</v>
      </c>
      <c r="J142" s="67" t="s">
        <v>381</v>
      </c>
      <c r="K142" s="67" t="s">
        <v>378</v>
      </c>
      <c r="L142" s="380">
        <f>L141</f>
        <v>1104.01</v>
      </c>
      <c r="M142" s="381" t="s">
        <v>388</v>
      </c>
      <c r="N142" s="382"/>
      <c r="O142" s="67" t="str">
        <f>'Table 3'!K142</f>
        <v>Not commenced</v>
      </c>
      <c r="P142" s="67"/>
      <c r="Q142" s="67" t="str">
        <f>'Table 3'!N142</f>
        <v>Project name and description updated to conform with contemporary naming and description conventions</v>
      </c>
      <c r="R142" s="67" t="str">
        <f>'Table 3'!P142</f>
        <v>VPA Benchmark Infrastructure Report, Cardno, April 2019
Indexed to $2021
Sporting Pavilion - 2 Playing Areas</v>
      </c>
      <c r="S142" s="67"/>
      <c r="T142" s="392" t="s">
        <v>660</v>
      </c>
      <c r="U142" s="382"/>
      <c r="V142" s="67"/>
      <c r="W142" s="249"/>
    </row>
    <row r="143" spans="1:36" s="66" customFormat="1" ht="60" x14ac:dyDescent="0.2">
      <c r="A143" s="67" t="s">
        <v>336</v>
      </c>
      <c r="B143" s="67" t="s">
        <v>226</v>
      </c>
      <c r="C143" s="326" t="str">
        <f>'Table 3'!C143</f>
        <v>Weir Views East Sports Reserve
Construction of a sports reserve incorporating:
- Playing surfaces and car parks, including all construction works, landscaping, and related infrastructure
- Playground including play space, youth space, picnic facilities, and BBQ</v>
      </c>
      <c r="D143" s="378">
        <f>'Table 3'!D143</f>
        <v>0</v>
      </c>
      <c r="E143" s="378">
        <f>'Table 3'!E143</f>
        <v>8536422</v>
      </c>
      <c r="F143" s="378">
        <f t="shared" si="35"/>
        <v>8536422</v>
      </c>
      <c r="G143" s="379">
        <v>0</v>
      </c>
      <c r="H143" s="379">
        <v>1</v>
      </c>
      <c r="I143" s="378">
        <f t="shared" si="34"/>
        <v>8536422</v>
      </c>
      <c r="J143" s="67" t="s">
        <v>381</v>
      </c>
      <c r="K143" s="67" t="s">
        <v>378</v>
      </c>
      <c r="L143" s="380">
        <f t="shared" ref="L143:L154" si="36">L142</f>
        <v>1104.01</v>
      </c>
      <c r="M143" s="381">
        <f t="shared" ref="M143:M156" si="37">I143/L143</f>
        <v>7732.1962663381673</v>
      </c>
      <c r="N143" s="382"/>
      <c r="O143" s="67" t="str">
        <f>'Table 3'!K143</f>
        <v>Not commenced</v>
      </c>
      <c r="P143" s="67"/>
      <c r="Q143" s="67" t="str">
        <f>'Table 3'!N143</f>
        <v>Project name and description updated to conform with contemporary naming and description conventions</v>
      </c>
      <c r="R143" s="67" t="str">
        <f>'Table 3'!P143</f>
        <v>VPA Benchmark Infrastructure Report, Cardno, April 2019
Indexed to $2021
5-6 Ha Sports and Recreation Facility</v>
      </c>
      <c r="S143" s="67"/>
      <c r="T143" s="67"/>
      <c r="U143" s="382"/>
      <c r="V143" s="67"/>
      <c r="W143" s="249"/>
    </row>
    <row r="144" spans="1:36" ht="36" x14ac:dyDescent="0.2">
      <c r="A144" s="63" t="s">
        <v>337</v>
      </c>
      <c r="B144" s="63" t="s">
        <v>313</v>
      </c>
      <c r="C144" s="326" t="str">
        <f>'Table 3'!C144</f>
        <v>Weir Views East Sports Reserve Pavilion
Construction of a pavilion, including all building works, landscaping, and related infrastructure</v>
      </c>
      <c r="D144" s="378">
        <f>'Table 3'!D144</f>
        <v>0</v>
      </c>
      <c r="E144" s="378">
        <f>'Table 3'!E144</f>
        <v>1762413</v>
      </c>
      <c r="F144" s="378">
        <f t="shared" si="35"/>
        <v>1762413</v>
      </c>
      <c r="G144" s="379">
        <v>0</v>
      </c>
      <c r="H144" s="379">
        <v>1</v>
      </c>
      <c r="I144" s="378" t="s">
        <v>388</v>
      </c>
      <c r="J144" s="63" t="s">
        <v>381</v>
      </c>
      <c r="K144" s="69" t="s">
        <v>378</v>
      </c>
      <c r="L144" s="399">
        <f t="shared" si="36"/>
        <v>1104.01</v>
      </c>
      <c r="M144" s="400" t="s">
        <v>388</v>
      </c>
      <c r="O144" s="63" t="str">
        <f>'Table 3'!K144</f>
        <v>Not commenced</v>
      </c>
      <c r="P144" s="63"/>
      <c r="Q144" s="63" t="str">
        <f>'Table 3'!N144</f>
        <v>Project name and description updated to conform with contemporary naming and description conventions</v>
      </c>
      <c r="R144" s="63" t="str">
        <f>'Table 3'!P144</f>
        <v>VPA Benchmark Infrastructure Report, Cardno, April 2019
Indexed to $2021
Sporting Pavilion - 2 Playing Areas</v>
      </c>
      <c r="S144" s="63"/>
      <c r="T144" s="63"/>
      <c r="V144" s="63"/>
      <c r="W144" s="250"/>
    </row>
    <row r="145" spans="1:36" ht="60" x14ac:dyDescent="0.2">
      <c r="A145" s="63" t="s">
        <v>338</v>
      </c>
      <c r="B145" s="63" t="s">
        <v>226</v>
      </c>
      <c r="C145" s="326" t="str">
        <f>'Table 3'!C145</f>
        <v>Weir Views South Sports Reserve
Construction of a sports reserve in Community Hub 2 incorporating:
- Playing surfaces and car parks, including all construction works, landscaping, and related infrastructure
- Playground including play space, youth space, picnic facilities, and BBQ</v>
      </c>
      <c r="D145" s="378">
        <f>'Table 3'!D145</f>
        <v>0</v>
      </c>
      <c r="E145" s="378">
        <f>'Table 3'!E145</f>
        <v>11020402</v>
      </c>
      <c r="F145" s="378">
        <f t="shared" si="35"/>
        <v>11020402</v>
      </c>
      <c r="G145" s="379">
        <v>0</v>
      </c>
      <c r="H145" s="379">
        <v>1</v>
      </c>
      <c r="I145" s="378">
        <f t="shared" si="34"/>
        <v>11020402</v>
      </c>
      <c r="J145" s="63" t="s">
        <v>381</v>
      </c>
      <c r="K145" s="69" t="s">
        <v>378</v>
      </c>
      <c r="L145" s="399">
        <f t="shared" si="36"/>
        <v>1104.01</v>
      </c>
      <c r="M145" s="400">
        <f t="shared" si="37"/>
        <v>9982.157770310052</v>
      </c>
      <c r="O145" s="63" t="str">
        <f>'Table 3'!K145</f>
        <v>Not commenced</v>
      </c>
      <c r="P145" s="63"/>
      <c r="Q145" s="63" t="str">
        <f>'Table 3'!N145</f>
        <v>Project name and description updated to conform with contemporary naming and description conventions</v>
      </c>
      <c r="R145" s="63" t="str">
        <f>'Table 3'!P145</f>
        <v>VPA Benchmark Infrastructure Report, Cardno, April 2019
Indexed to $2021
8-10 Ha Sports and Recreation Facility</v>
      </c>
      <c r="S145" s="63"/>
      <c r="T145" s="63"/>
      <c r="V145" s="63"/>
      <c r="W145" s="250"/>
    </row>
    <row r="146" spans="1:36" ht="36" x14ac:dyDescent="0.2">
      <c r="A146" s="63" t="s">
        <v>339</v>
      </c>
      <c r="B146" s="63" t="s">
        <v>313</v>
      </c>
      <c r="C146" s="326" t="str">
        <f>'Table 3'!C146</f>
        <v>Weir Views South Sports Reserve
Construction of a pavilion in Community Hub 2, including all building works, landscaping, and related infrastructure</v>
      </c>
      <c r="D146" s="378">
        <f>'Table 3'!D146</f>
        <v>0</v>
      </c>
      <c r="E146" s="378">
        <f>'Table 3'!E146</f>
        <v>1762413</v>
      </c>
      <c r="F146" s="378">
        <f t="shared" si="35"/>
        <v>1762413</v>
      </c>
      <c r="G146" s="379">
        <v>0</v>
      </c>
      <c r="H146" s="379">
        <v>1</v>
      </c>
      <c r="I146" s="378" t="s">
        <v>388</v>
      </c>
      <c r="J146" s="63" t="s">
        <v>381</v>
      </c>
      <c r="K146" s="69" t="s">
        <v>378</v>
      </c>
      <c r="L146" s="399">
        <f t="shared" si="36"/>
        <v>1104.01</v>
      </c>
      <c r="M146" s="400" t="s">
        <v>388</v>
      </c>
      <c r="O146" s="63" t="str">
        <f>'Table 3'!K146</f>
        <v>Not commenced</v>
      </c>
      <c r="P146" s="63"/>
      <c r="Q146" s="63" t="str">
        <f>'Table 3'!N146</f>
        <v>Project name and description updated to conform with contemporary naming and description conventions</v>
      </c>
      <c r="R146" s="63" t="str">
        <f>'Table 3'!P146</f>
        <v>VPA Benchmark Infrastructure Report, Cardno, April 2019
Indexed to $2021
Sporting Pavilion - 2 Playing Areas</v>
      </c>
      <c r="S146" s="63"/>
      <c r="T146" s="63"/>
      <c r="V146" s="63"/>
      <c r="W146" s="250"/>
    </row>
    <row r="147" spans="1:36" ht="60" x14ac:dyDescent="0.2">
      <c r="A147" s="63" t="s">
        <v>340</v>
      </c>
      <c r="B147" s="63" t="s">
        <v>226</v>
      </c>
      <c r="C147" s="326" t="str">
        <f>'Table 3'!C147</f>
        <v>Strathtulloh Sports Reserve
Construction of a sports reserve in Community Hub 3 incorporating:
- Playing surfaces and car parks, including all construction works, landscaping, and related infrastructure
- Playground including play space, youth space, picnic facilities, and BBQ</v>
      </c>
      <c r="D147" s="378">
        <f>'Table 3'!D147</f>
        <v>0</v>
      </c>
      <c r="E147" s="378">
        <f>'Table 3'!E147</f>
        <v>11020402</v>
      </c>
      <c r="F147" s="378">
        <f t="shared" si="35"/>
        <v>11020402</v>
      </c>
      <c r="G147" s="379">
        <v>0</v>
      </c>
      <c r="H147" s="379">
        <v>1</v>
      </c>
      <c r="I147" s="378">
        <f t="shared" si="34"/>
        <v>11020402</v>
      </c>
      <c r="J147" s="63" t="s">
        <v>381</v>
      </c>
      <c r="K147" s="69" t="s">
        <v>378</v>
      </c>
      <c r="L147" s="399">
        <f t="shared" si="36"/>
        <v>1104.01</v>
      </c>
      <c r="M147" s="400">
        <f t="shared" si="37"/>
        <v>9982.157770310052</v>
      </c>
      <c r="O147" s="63" t="str">
        <f>'Table 3'!K147</f>
        <v>Not commenced</v>
      </c>
      <c r="P147" s="63"/>
      <c r="Q147" s="63" t="str">
        <f>'Table 3'!N147</f>
        <v>Project name and description updated to conform with contemporary naming and description conventions</v>
      </c>
      <c r="R147" s="63" t="str">
        <f>'Table 3'!P147</f>
        <v>VPA Benchmark Infrastructure Report, Cardno, April 2019
Indexed to $2021
8-10 Ha Sports and Recreation Facility</v>
      </c>
      <c r="S147" s="63"/>
      <c r="T147" s="63"/>
      <c r="V147" s="63"/>
      <c r="W147" s="250"/>
    </row>
    <row r="148" spans="1:36" ht="36" x14ac:dyDescent="0.2">
      <c r="A148" s="63" t="s">
        <v>341</v>
      </c>
      <c r="B148" s="63" t="s">
        <v>313</v>
      </c>
      <c r="C148" s="326" t="str">
        <f>'Table 3'!C148</f>
        <v>Strathtulloh Sports Reserve Pavilion
Construction of a pavilion in Community Hub 3, including all building works, landscaping, and related infrastructure</v>
      </c>
      <c r="D148" s="378">
        <f>'Table 3'!D148</f>
        <v>0</v>
      </c>
      <c r="E148" s="378">
        <f>'Table 3'!E148</f>
        <v>3524826</v>
      </c>
      <c r="F148" s="378">
        <f t="shared" si="35"/>
        <v>3524826</v>
      </c>
      <c r="G148" s="379">
        <v>0</v>
      </c>
      <c r="H148" s="379">
        <v>1</v>
      </c>
      <c r="I148" s="378" t="s">
        <v>388</v>
      </c>
      <c r="J148" s="63" t="s">
        <v>381</v>
      </c>
      <c r="K148" s="69" t="s">
        <v>378</v>
      </c>
      <c r="L148" s="399">
        <f t="shared" si="36"/>
        <v>1104.01</v>
      </c>
      <c r="M148" s="400" t="s">
        <v>388</v>
      </c>
      <c r="O148" s="63" t="str">
        <f>'Table 3'!K148</f>
        <v>Not commenced</v>
      </c>
      <c r="P148" s="63"/>
      <c r="Q148" s="63" t="str">
        <f>'Table 3'!N148</f>
        <v>Project name and description updated to conform with contemporary naming and description conventions</v>
      </c>
      <c r="R148" s="63" t="str">
        <f>'Table 3'!P148</f>
        <v>VPA Benchmark Infrastructure Report, Cardno, April 2019
Indexed to $2021
2 x Sporting Pavilion - 2 Playing Areas</v>
      </c>
      <c r="S148" s="63"/>
      <c r="T148" s="63"/>
      <c r="V148" s="63"/>
      <c r="W148" s="250"/>
    </row>
    <row r="149" spans="1:36" ht="84" x14ac:dyDescent="0.2">
      <c r="A149" s="63" t="s">
        <v>342</v>
      </c>
      <c r="B149" s="63" t="s">
        <v>226</v>
      </c>
      <c r="C149" s="326" t="str">
        <f>'Table 3'!C149</f>
        <v>Thornhill Park Sports Reserve
Construction of a sports reserve in Community Hub 4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</v>
      </c>
      <c r="D149" s="378">
        <f>'Table 3'!D149</f>
        <v>0</v>
      </c>
      <c r="E149" s="378">
        <f>'Table 3'!E149</f>
        <v>11020402</v>
      </c>
      <c r="F149" s="378">
        <f t="shared" si="35"/>
        <v>11020402</v>
      </c>
      <c r="G149" s="379">
        <v>0</v>
      </c>
      <c r="H149" s="379">
        <v>1</v>
      </c>
      <c r="I149" s="378">
        <f t="shared" si="34"/>
        <v>11020402</v>
      </c>
      <c r="J149" s="63" t="s">
        <v>381</v>
      </c>
      <c r="K149" s="69" t="s">
        <v>378</v>
      </c>
      <c r="L149" s="399">
        <f t="shared" si="36"/>
        <v>1104.01</v>
      </c>
      <c r="M149" s="400">
        <f t="shared" si="37"/>
        <v>9982.157770310052</v>
      </c>
      <c r="O149" s="63" t="str">
        <f>'Table 3'!K149</f>
        <v>Not commenced</v>
      </c>
      <c r="P149" s="63"/>
      <c r="Q149" s="63" t="str">
        <f>'Table 3'!N149</f>
        <v>Project name and description updated to conform with contemporary naming and description conventions</v>
      </c>
      <c r="R149" s="63" t="str">
        <f>'Table 3'!P149</f>
        <v>VPA Benchmark Infrastructure Report, Cardno, April 2019
Indexed to $2021
8-10 Ha Sports and Recreation Facility</v>
      </c>
      <c r="S149" s="63"/>
      <c r="T149" s="63"/>
      <c r="V149" s="63"/>
      <c r="W149" s="250"/>
    </row>
    <row r="150" spans="1:36" ht="36" x14ac:dyDescent="0.2">
      <c r="A150" s="63" t="s">
        <v>343</v>
      </c>
      <c r="B150" s="63" t="s">
        <v>313</v>
      </c>
      <c r="C150" s="326" t="str">
        <f>'Table 3'!C150</f>
        <v>Thornhill Park Sports Reserve Pavilion
Construction of a pavilion in Community Hub 4, including all building works, landscaping, and related infrastructure</v>
      </c>
      <c r="D150" s="378">
        <f>'Table 3'!D150</f>
        <v>0</v>
      </c>
      <c r="E150" s="378">
        <f>'Table 3'!E150</f>
        <v>1762413</v>
      </c>
      <c r="F150" s="378">
        <f t="shared" si="35"/>
        <v>1762413</v>
      </c>
      <c r="G150" s="379">
        <v>0</v>
      </c>
      <c r="H150" s="379">
        <v>1</v>
      </c>
      <c r="I150" s="378" t="s">
        <v>388</v>
      </c>
      <c r="J150" s="63" t="s">
        <v>381</v>
      </c>
      <c r="K150" s="69" t="s">
        <v>378</v>
      </c>
      <c r="L150" s="399">
        <f t="shared" si="36"/>
        <v>1104.01</v>
      </c>
      <c r="M150" s="400" t="s">
        <v>388</v>
      </c>
      <c r="O150" s="63" t="str">
        <f>'Table 3'!K150</f>
        <v>Not commenced</v>
      </c>
      <c r="P150" s="63"/>
      <c r="Q150" s="63" t="str">
        <f>'Table 3'!N150</f>
        <v>Project name and description updated to conform with contemporary naming and description conventions</v>
      </c>
      <c r="R150" s="63" t="str">
        <f>'Table 3'!P150</f>
        <v>VPA Benchmark Infrastructure Report, Cardno, April 2019
Indexed to $2021
Sporting Pavilion - 2 Playing Areas</v>
      </c>
      <c r="S150" s="63"/>
      <c r="T150" s="63"/>
      <c r="V150" s="63"/>
      <c r="W150" s="250"/>
    </row>
    <row r="151" spans="1:36" ht="60" x14ac:dyDescent="0.2">
      <c r="A151" s="63" t="s">
        <v>344</v>
      </c>
      <c r="B151" s="63" t="s">
        <v>226</v>
      </c>
      <c r="C151" s="326" t="str">
        <f>'Table 3'!C151</f>
        <v>Cobblebank East Sports Reserve
Construction of a sports reserve in Community Hub 5 incorporating:
- Playing surfaces and car parks, including all construction works, landscaping, and related infrastructure
- Playground including play space, youth space, picnic facilities, and BBQ</v>
      </c>
      <c r="D151" s="378">
        <f>'Table 3'!D151</f>
        <v>0</v>
      </c>
      <c r="E151" s="378">
        <f>'Table 3'!E151</f>
        <v>8536422</v>
      </c>
      <c r="F151" s="378">
        <f t="shared" si="35"/>
        <v>8536422</v>
      </c>
      <c r="G151" s="379">
        <v>0</v>
      </c>
      <c r="H151" s="379">
        <v>1</v>
      </c>
      <c r="I151" s="378">
        <f t="shared" si="34"/>
        <v>8536422</v>
      </c>
      <c r="J151" s="63" t="s">
        <v>381</v>
      </c>
      <c r="K151" s="69" t="s">
        <v>378</v>
      </c>
      <c r="L151" s="399">
        <f t="shared" si="36"/>
        <v>1104.01</v>
      </c>
      <c r="M151" s="400">
        <f t="shared" si="37"/>
        <v>7732.1962663381673</v>
      </c>
      <c r="O151" s="63" t="str">
        <f>'Table 3'!K151</f>
        <v>Not commenced</v>
      </c>
      <c r="P151" s="63"/>
      <c r="Q151" s="63" t="str">
        <f>'Table 3'!N151</f>
        <v>Project name and description updated to conform with contemporary naming and description conventions</v>
      </c>
      <c r="R151" s="63" t="str">
        <f>'Table 3'!P151</f>
        <v>VPA Benchmark Infrastructure Report, Cardno, April 2019
Indexed to $2021
5-6 Ha Sports and Recreation Facility</v>
      </c>
      <c r="S151" s="63"/>
      <c r="T151" s="63"/>
      <c r="V151" s="63"/>
      <c r="W151" s="250"/>
    </row>
    <row r="152" spans="1:36" ht="36" x14ac:dyDescent="0.2">
      <c r="A152" s="63" t="s">
        <v>345</v>
      </c>
      <c r="B152" s="63" t="s">
        <v>313</v>
      </c>
      <c r="C152" s="326" t="str">
        <f>'Table 3'!C152</f>
        <v>Cobblebank East Sports Reserve Pavilion
Construction of a pavilion in Community Hub 5, including all building works, landscaping, and related infrastructure</v>
      </c>
      <c r="D152" s="378">
        <f>'Table 3'!D152</f>
        <v>0</v>
      </c>
      <c r="E152" s="378">
        <f>'Table 3'!E152</f>
        <v>1762413</v>
      </c>
      <c r="F152" s="378">
        <f t="shared" si="35"/>
        <v>1762413</v>
      </c>
      <c r="G152" s="379">
        <v>0</v>
      </c>
      <c r="H152" s="379">
        <v>1</v>
      </c>
      <c r="I152" s="378" t="s">
        <v>388</v>
      </c>
      <c r="J152" s="63" t="s">
        <v>381</v>
      </c>
      <c r="K152" s="69" t="s">
        <v>378</v>
      </c>
      <c r="L152" s="399">
        <f t="shared" si="36"/>
        <v>1104.01</v>
      </c>
      <c r="M152" s="400" t="s">
        <v>388</v>
      </c>
      <c r="O152" s="63" t="str">
        <f>'Table 3'!K152</f>
        <v>Not commenced</v>
      </c>
      <c r="P152" s="63"/>
      <c r="Q152" s="63" t="str">
        <f>'Table 3'!N152</f>
        <v>Project name and description updated to conform with contemporary naming and description conventions</v>
      </c>
      <c r="R152" s="63" t="str">
        <f>'Table 3'!P152</f>
        <v>VPA Benchmark Infrastructure Report, Cardno, April 2019
Indexed to $2021
Sporting Pavilion - 2 Playing Areas</v>
      </c>
      <c r="S152" s="63"/>
      <c r="T152" s="63"/>
      <c r="V152" s="63"/>
      <c r="W152" s="250"/>
    </row>
    <row r="153" spans="1:36" ht="60" x14ac:dyDescent="0.2">
      <c r="A153" s="63" t="s">
        <v>346</v>
      </c>
      <c r="B153" s="63" t="s">
        <v>226</v>
      </c>
      <c r="C153" s="326" t="str">
        <f>'Table 3'!C153</f>
        <v>Cobblebank Central Sports Reserve
Construction of a sports reserve in Community Hub 7 incorporating:
- Playing surfaces and car parks, including all construction works, landscaping, and related infrastructure
- Playground including play space, youth space, picnic facilities, and BBQ</v>
      </c>
      <c r="D153" s="378">
        <f>'Table 3'!D153</f>
        <v>0</v>
      </c>
      <c r="E153" s="378">
        <f>'Table 3'!E153</f>
        <v>11020402</v>
      </c>
      <c r="F153" s="378">
        <f t="shared" si="35"/>
        <v>11020402</v>
      </c>
      <c r="G153" s="379">
        <v>0</v>
      </c>
      <c r="H153" s="379">
        <v>1</v>
      </c>
      <c r="I153" s="378">
        <f t="shared" si="34"/>
        <v>11020402</v>
      </c>
      <c r="J153" s="63" t="s">
        <v>381</v>
      </c>
      <c r="K153" s="69" t="s">
        <v>378</v>
      </c>
      <c r="L153" s="399">
        <f t="shared" si="36"/>
        <v>1104.01</v>
      </c>
      <c r="M153" s="400">
        <f t="shared" si="37"/>
        <v>9982.157770310052</v>
      </c>
      <c r="O153" s="63" t="str">
        <f>'Table 3'!K153</f>
        <v>Not commenced</v>
      </c>
      <c r="P153" s="63"/>
      <c r="Q153" s="63" t="str">
        <f>'Table 3'!N153</f>
        <v>Project name and description updated to conform with contemporary naming and description conventions</v>
      </c>
      <c r="R153" s="63" t="str">
        <f>'Table 3'!P153</f>
        <v>VPA Benchmark Infrastructure Report, Cardno, April 2019
Indexed to $2021
8-10 Ha Sports and Recreation Facility</v>
      </c>
      <c r="S153" s="63"/>
      <c r="T153" s="63"/>
      <c r="V153" s="63"/>
      <c r="W153" s="250"/>
    </row>
    <row r="154" spans="1:36" ht="36" x14ac:dyDescent="0.2">
      <c r="A154" s="63" t="s">
        <v>347</v>
      </c>
      <c r="B154" s="63" t="s">
        <v>313</v>
      </c>
      <c r="C154" s="326" t="str">
        <f>'Table 3'!C154</f>
        <v>Cobblebank Central Sports Reserve Pavilion
Construction of a pavilion in Community Hub 7, including all building works, landscaping and related infrastructure</v>
      </c>
      <c r="D154" s="378">
        <f>'Table 3'!D154</f>
        <v>0</v>
      </c>
      <c r="E154" s="378">
        <f>'Table 3'!E154</f>
        <v>1762413</v>
      </c>
      <c r="F154" s="378">
        <f t="shared" si="35"/>
        <v>1762413</v>
      </c>
      <c r="G154" s="379">
        <v>0</v>
      </c>
      <c r="H154" s="379">
        <v>1</v>
      </c>
      <c r="I154" s="378" t="s">
        <v>388</v>
      </c>
      <c r="J154" s="63" t="s">
        <v>381</v>
      </c>
      <c r="K154" s="69" t="s">
        <v>378</v>
      </c>
      <c r="L154" s="399">
        <f t="shared" si="36"/>
        <v>1104.01</v>
      </c>
      <c r="M154" s="400" t="s">
        <v>388</v>
      </c>
      <c r="O154" s="63" t="str">
        <f>'Table 3'!K154</f>
        <v>Not commenced</v>
      </c>
      <c r="P154" s="63"/>
      <c r="Q154" s="63" t="str">
        <f>'Table 3'!N154</f>
        <v>Project name and description updated to conform with contemporary naming and description conventions</v>
      </c>
      <c r="R154" s="63" t="str">
        <f>'Table 3'!P154</f>
        <v>VPA Benchmark Infrastructure Report, Cardno, April 2019
Indexed to $2021
Sporting Pavilion - 2 Playing Areas</v>
      </c>
      <c r="S154" s="63"/>
      <c r="T154" s="63"/>
      <c r="V154" s="63"/>
      <c r="W154" s="250"/>
    </row>
    <row r="155" spans="1:36" s="66" customFormat="1" ht="96" x14ac:dyDescent="0.2">
      <c r="A155" s="67" t="s">
        <v>348</v>
      </c>
      <c r="B155" s="67" t="s">
        <v>226</v>
      </c>
      <c r="C155" s="326" t="str">
        <f>'Table 3'!C155</f>
        <v>Bridge Road Sports Reserve
Construction of a sports reserve in Community Hub 6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
Area 2 Contribution (60%)</v>
      </c>
      <c r="D155" s="378">
        <f>'Table 3'!D155</f>
        <v>0</v>
      </c>
      <c r="E155" s="378">
        <f>'Table 3'!E155</f>
        <v>2296579.52</v>
      </c>
      <c r="F155" s="378">
        <f t="shared" si="35"/>
        <v>2296579.52</v>
      </c>
      <c r="G155" s="379">
        <v>0</v>
      </c>
      <c r="H155" s="379">
        <v>1</v>
      </c>
      <c r="I155" s="378">
        <f t="shared" si="34"/>
        <v>2296579.52</v>
      </c>
      <c r="J155" s="67" t="s">
        <v>385</v>
      </c>
      <c r="K155" s="67" t="s">
        <v>378</v>
      </c>
      <c r="L155" s="380">
        <f>'Tables 2'!AA107</f>
        <v>794.88000000000011</v>
      </c>
      <c r="M155" s="381">
        <f t="shared" si="37"/>
        <v>2889.2153784218999</v>
      </c>
      <c r="N155" s="382"/>
      <c r="O155" s="67" t="str">
        <f>'Table 3'!K155</f>
        <v>Constructed</v>
      </c>
      <c r="P155" s="67"/>
      <c r="Q155" s="67" t="str">
        <f>'Table 3'!N155</f>
        <v>Project name and description updated to conform with contemporary naming and description conventions</v>
      </c>
      <c r="R155" s="67" t="str">
        <f>'Table 3'!P155</f>
        <v>Constructed
Toolern Development Contributions Plan, VPA
Indexed to $2021</v>
      </c>
      <c r="S155" s="67" t="s">
        <v>514</v>
      </c>
      <c r="T155" s="67"/>
      <c r="U155" s="382"/>
      <c r="V155" s="67"/>
      <c r="W155" s="249"/>
    </row>
    <row r="156" spans="1:36" s="66" customFormat="1" ht="96" x14ac:dyDescent="0.2">
      <c r="A156" s="67" t="s">
        <v>349</v>
      </c>
      <c r="B156" s="67" t="s">
        <v>226</v>
      </c>
      <c r="C156" s="326" t="str">
        <f>'Table 3'!C156</f>
        <v>Bridge Road Sports Reserve
Construction of a sports reserve in Community Hub 6 incorporating:
- Playing surfaces and car parks, including all construction works, landscaping, and related infrastructure
- Playground including play space, youth space, picnic facilities, and BBQ
- Tennis / multi-purpose hard courts incorporating 4 courts with lighting and parking, including all construction works, landscaping and related infrastructure
Area 3 Contribution (40%)</v>
      </c>
      <c r="D156" s="378">
        <f>'Table 3'!D156</f>
        <v>0</v>
      </c>
      <c r="E156" s="378">
        <f>'Table 3'!E156</f>
        <v>1531053.01</v>
      </c>
      <c r="F156" s="378">
        <f t="shared" si="35"/>
        <v>1531053.01</v>
      </c>
      <c r="G156" s="379">
        <v>0</v>
      </c>
      <c r="H156" s="379">
        <v>1</v>
      </c>
      <c r="I156" s="378">
        <f t="shared" si="34"/>
        <v>1531053.01</v>
      </c>
      <c r="J156" s="67" t="s">
        <v>386</v>
      </c>
      <c r="K156" s="67" t="s">
        <v>378</v>
      </c>
      <c r="L156" s="380">
        <f>'Tables 2'!AA130</f>
        <v>85.460000000000008</v>
      </c>
      <c r="M156" s="381">
        <f t="shared" si="37"/>
        <v>17915.434238240112</v>
      </c>
      <c r="N156" s="382"/>
      <c r="O156" s="67" t="str">
        <f>'Table 3'!K156</f>
        <v>Constructed</v>
      </c>
      <c r="P156" s="67"/>
      <c r="Q156" s="67" t="str">
        <f>'Table 3'!N156</f>
        <v>Project name and description updated to conform with contemporary naming and description conventions</v>
      </c>
      <c r="R156" s="67" t="str">
        <f>'Table 3'!P156</f>
        <v>Constructed
Toolern Development Contributions Plan, VPA
Indexed to $2021</v>
      </c>
      <c r="S156" s="67" t="s">
        <v>514</v>
      </c>
      <c r="T156" s="67"/>
      <c r="U156" s="382"/>
      <c r="V156" s="67"/>
      <c r="W156" s="249"/>
    </row>
    <row r="157" spans="1:36" s="66" customFormat="1" ht="36" x14ac:dyDescent="0.2">
      <c r="A157" s="67" t="s">
        <v>350</v>
      </c>
      <c r="B157" s="67" t="s">
        <v>313</v>
      </c>
      <c r="C157" s="326" t="str">
        <f>'Table 3'!C157</f>
        <v>Bridge Road Sports Reserve Pavilion
Construction of a pavilion in Community Hub 6, including all building works, landscaping, and related infrastructure</v>
      </c>
      <c r="D157" s="378">
        <f>'Table 3'!D157</f>
        <v>0</v>
      </c>
      <c r="E157" s="378">
        <f>'Table 3'!E157</f>
        <v>1611363.36</v>
      </c>
      <c r="F157" s="378">
        <f t="shared" si="35"/>
        <v>1611363.36</v>
      </c>
      <c r="G157" s="379">
        <v>0</v>
      </c>
      <c r="H157" s="379">
        <v>1</v>
      </c>
      <c r="I157" s="378" t="s">
        <v>388</v>
      </c>
      <c r="J157" s="67" t="s">
        <v>390</v>
      </c>
      <c r="K157" s="67" t="s">
        <v>378</v>
      </c>
      <c r="L157" s="380">
        <f>L138</f>
        <v>880.34000000000015</v>
      </c>
      <c r="M157" s="381" t="s">
        <v>388</v>
      </c>
      <c r="N157" s="382"/>
      <c r="O157" s="67" t="str">
        <f>'Table 3'!K157</f>
        <v>Constructed</v>
      </c>
      <c r="P157" s="67"/>
      <c r="Q157" s="67" t="str">
        <f>'Table 3'!N157</f>
        <v>Project name and description updated to conform with contemporary naming and description conventions</v>
      </c>
      <c r="R157" s="67" t="str">
        <f>'Table 3'!P157</f>
        <v>Constructed
Toolern Development Contributions Plan, VPA
Indexed to $2021</v>
      </c>
      <c r="S157" s="67" t="s">
        <v>514</v>
      </c>
      <c r="T157" s="67"/>
      <c r="U157" s="382"/>
      <c r="V157" s="67"/>
      <c r="W157" s="249"/>
    </row>
    <row r="158" spans="1:36" s="64" customFormat="1" x14ac:dyDescent="0.2">
      <c r="A158" s="383" t="s">
        <v>14</v>
      </c>
      <c r="B158" s="383"/>
      <c r="C158" s="383"/>
      <c r="D158" s="384">
        <f>SUM(D141:D157)</f>
        <v>0</v>
      </c>
      <c r="E158" s="384">
        <f t="shared" ref="E158:F158" si="38">SUM(E141:E157)</f>
        <v>91713153.890000001</v>
      </c>
      <c r="F158" s="384">
        <f t="shared" si="38"/>
        <v>91713153.890000001</v>
      </c>
      <c r="G158" s="385"/>
      <c r="H158" s="385"/>
      <c r="I158" s="388">
        <f>SUM(I141:I157)</f>
        <v>72696365.930000007</v>
      </c>
      <c r="J158" s="236"/>
      <c r="K158" s="236"/>
      <c r="L158" s="236"/>
      <c r="M158" s="390"/>
      <c r="N158" s="391"/>
      <c r="O158" s="65"/>
      <c r="P158" s="65"/>
      <c r="Q158" s="65"/>
      <c r="R158" s="65"/>
      <c r="S158" s="65"/>
      <c r="T158" s="65"/>
      <c r="U158" s="383"/>
      <c r="V158" s="65"/>
      <c r="W158" s="252"/>
    </row>
    <row r="159" spans="1:36" s="86" customFormat="1" ht="36" x14ac:dyDescent="0.2">
      <c r="A159" s="377" t="s">
        <v>351</v>
      </c>
      <c r="B159" s="82"/>
      <c r="C159" s="82"/>
      <c r="D159" s="313"/>
      <c r="E159" s="313"/>
      <c r="F159" s="313"/>
      <c r="G159" s="314"/>
      <c r="H159" s="314"/>
      <c r="I159" s="313"/>
      <c r="J159" s="82"/>
      <c r="K159" s="82"/>
      <c r="L159" s="82"/>
      <c r="M159" s="87"/>
      <c r="N159" s="476"/>
      <c r="O159" s="82"/>
      <c r="P159" s="82"/>
      <c r="Q159" s="82"/>
      <c r="R159" s="82"/>
      <c r="S159" s="82"/>
      <c r="T159" s="82"/>
      <c r="U159" s="248"/>
      <c r="V159" s="82"/>
      <c r="W159" s="251"/>
      <c r="X159" s="83"/>
      <c r="Y159" s="82"/>
      <c r="Z159" s="82"/>
      <c r="AA159" s="82"/>
      <c r="AB159" s="82"/>
      <c r="AC159" s="82"/>
      <c r="AD159" s="84"/>
      <c r="AE159" s="84"/>
      <c r="AF159" s="84"/>
      <c r="AG159" s="84"/>
      <c r="AH159" s="84"/>
      <c r="AI159" s="84"/>
      <c r="AJ159" s="85"/>
    </row>
    <row r="160" spans="1:36" s="316" customFormat="1" ht="36" x14ac:dyDescent="0.25">
      <c r="A160" s="327" t="s">
        <v>352</v>
      </c>
      <c r="B160" s="327" t="s">
        <v>226</v>
      </c>
      <c r="C160" s="401" t="str">
        <f>'Table 3'!C160</f>
        <v>Toolern Creek Regional Park Trail
Concrete Shared Path including pavement, drainage, and landscaping (3 metres wide, length 3,250 metres)</v>
      </c>
      <c r="D160" s="378">
        <f>'Table 3'!D160</f>
        <v>0</v>
      </c>
      <c r="E160" s="378">
        <f>'Table 3'!E160</f>
        <v>916462.91</v>
      </c>
      <c r="F160" s="378">
        <f>E160+D160</f>
        <v>916462.91</v>
      </c>
      <c r="G160" s="379">
        <v>0</v>
      </c>
      <c r="H160" s="379">
        <v>1</v>
      </c>
      <c r="I160" s="378">
        <f t="shared" ref="I160" si="39">F160*H160</f>
        <v>916462.91</v>
      </c>
      <c r="J160" s="327" t="s">
        <v>382</v>
      </c>
      <c r="K160" s="327" t="s">
        <v>379</v>
      </c>
      <c r="L160" s="402">
        <f>'Tables 2'!AA24+'Tables 2'!AA107+'Tables 2'!AA130</f>
        <v>1189.47</v>
      </c>
      <c r="M160" s="403">
        <f>I160/L160</f>
        <v>770.48005414176066</v>
      </c>
      <c r="N160" s="404"/>
      <c r="O160" s="327" t="str">
        <f>'Table 3'!K160</f>
        <v>Constructed</v>
      </c>
      <c r="P160" s="327"/>
      <c r="Q160" s="327" t="str">
        <f>'Table 3'!N160</f>
        <v>Project name and description updated to conform with contemporary naming and description conventions</v>
      </c>
      <c r="R160" s="327" t="str">
        <f>'Table 3'!P160</f>
        <v>Constructed
Toolern Development Contributions Plan, VPA
Indexed to $2021</v>
      </c>
      <c r="S160" s="327" t="s">
        <v>514</v>
      </c>
      <c r="T160" s="327"/>
      <c r="U160" s="404"/>
      <c r="V160" s="327"/>
      <c r="W160" s="328"/>
    </row>
    <row r="161" spans="1:36" s="64" customFormat="1" x14ac:dyDescent="0.2">
      <c r="A161" s="383" t="s">
        <v>14</v>
      </c>
      <c r="B161" s="383"/>
      <c r="C161" s="383"/>
      <c r="D161" s="384">
        <v>0</v>
      </c>
      <c r="E161" s="384">
        <f>E160</f>
        <v>916462.91</v>
      </c>
      <c r="F161" s="384">
        <f>F160</f>
        <v>916462.91</v>
      </c>
      <c r="G161" s="385"/>
      <c r="H161" s="385"/>
      <c r="I161" s="388">
        <f>I160</f>
        <v>916462.91</v>
      </c>
      <c r="J161" s="236"/>
      <c r="K161" s="236"/>
      <c r="L161" s="236"/>
      <c r="M161" s="405"/>
      <c r="N161" s="391"/>
      <c r="O161" s="65"/>
      <c r="P161" s="65"/>
      <c r="Q161" s="65"/>
      <c r="R161" s="65"/>
      <c r="S161" s="65"/>
      <c r="T161" s="65"/>
      <c r="U161" s="383"/>
      <c r="V161" s="65"/>
      <c r="W161" s="252"/>
    </row>
    <row r="162" spans="1:36" s="86" customFormat="1" ht="24" x14ac:dyDescent="0.2">
      <c r="A162" s="377" t="s">
        <v>355</v>
      </c>
      <c r="B162" s="82"/>
      <c r="C162" s="82"/>
      <c r="D162" s="313"/>
      <c r="E162" s="313"/>
      <c r="F162" s="313"/>
      <c r="G162" s="314"/>
      <c r="H162" s="314"/>
      <c r="I162" s="313"/>
      <c r="J162" s="82"/>
      <c r="K162" s="82"/>
      <c r="L162" s="82"/>
      <c r="M162" s="87"/>
      <c r="N162" s="476"/>
      <c r="O162" s="82"/>
      <c r="P162" s="82"/>
      <c r="Q162" s="82"/>
      <c r="R162" s="82"/>
      <c r="S162" s="82"/>
      <c r="T162" s="82"/>
      <c r="U162" s="248"/>
      <c r="V162" s="82"/>
      <c r="W162" s="251"/>
      <c r="X162" s="83"/>
      <c r="Y162" s="82"/>
      <c r="Z162" s="82"/>
      <c r="AA162" s="82"/>
      <c r="AB162" s="82"/>
      <c r="AC162" s="82"/>
      <c r="AD162" s="84"/>
      <c r="AE162" s="84"/>
      <c r="AF162" s="84"/>
      <c r="AG162" s="84"/>
      <c r="AH162" s="84"/>
      <c r="AI162" s="84"/>
      <c r="AJ162" s="85"/>
    </row>
    <row r="163" spans="1:36" s="316" customFormat="1" ht="36" x14ac:dyDescent="0.25">
      <c r="A163" s="327" t="s">
        <v>356</v>
      </c>
      <c r="B163" s="327" t="s">
        <v>226</v>
      </c>
      <c r="C163" s="401" t="str">
        <f>'Table 3'!C163</f>
        <v xml:space="preserve">Plan Preparation
Preparation of Precinct Structure Plan and Development Contributions Plan. </v>
      </c>
      <c r="D163" s="378">
        <f>'Table 3'!D163</f>
        <v>0</v>
      </c>
      <c r="E163" s="378">
        <f>'Table 3'!E163</f>
        <v>0</v>
      </c>
      <c r="F163" s="378">
        <f>'Table 3'!F163</f>
        <v>1678503.51</v>
      </c>
      <c r="G163" s="379">
        <v>0</v>
      </c>
      <c r="H163" s="379">
        <v>1</v>
      </c>
      <c r="I163" s="378">
        <f t="shared" ref="I163" si="40">F163*H163</f>
        <v>1678503.51</v>
      </c>
      <c r="J163" s="327" t="s">
        <v>376</v>
      </c>
      <c r="K163" s="327" t="s">
        <v>377</v>
      </c>
      <c r="L163" s="402">
        <f>L114</f>
        <v>1537.57</v>
      </c>
      <c r="M163" s="406">
        <f>I163/L163</f>
        <v>1091.6598984111292</v>
      </c>
      <c r="N163" s="404"/>
      <c r="O163" s="327" t="str">
        <f>'Table 3'!K163</f>
        <v>Prepared</v>
      </c>
      <c r="P163" s="327" t="s">
        <v>626</v>
      </c>
      <c r="Q163" s="327" t="str">
        <f>'Table 3'!N163</f>
        <v>Project name and description updated to conform with contemporary naming and description conventions</v>
      </c>
      <c r="R163" s="327" t="str">
        <f>'Table 3'!P163</f>
        <v>Completed
Toolern Development Contributions Plan, VPA
Indexed to $2021</v>
      </c>
      <c r="S163" s="327"/>
      <c r="T163" s="327"/>
      <c r="U163" s="404"/>
      <c r="V163" s="327"/>
      <c r="W163" s="328"/>
    </row>
    <row r="164" spans="1:36" s="64" customFormat="1" x14ac:dyDescent="0.2">
      <c r="A164" s="383" t="s">
        <v>14</v>
      </c>
      <c r="B164" s="383"/>
      <c r="C164" s="383"/>
      <c r="D164" s="384">
        <v>0</v>
      </c>
      <c r="E164" s="384">
        <v>0</v>
      </c>
      <c r="F164" s="384">
        <f>F163</f>
        <v>1678503.51</v>
      </c>
      <c r="G164" s="385"/>
      <c r="H164" s="385"/>
      <c r="I164" s="388">
        <f>I163</f>
        <v>1678503.51</v>
      </c>
      <c r="J164" s="383"/>
      <c r="K164" s="383"/>
      <c r="L164" s="383"/>
      <c r="M164" s="405"/>
      <c r="N164" s="391"/>
      <c r="O164" s="236"/>
      <c r="P164" s="236"/>
      <c r="Q164" s="236"/>
      <c r="R164" s="236"/>
      <c r="S164" s="236"/>
      <c r="T164" s="236"/>
      <c r="U164" s="383"/>
      <c r="V164" s="65"/>
      <c r="W164" s="252"/>
    </row>
    <row r="165" spans="1:36" s="70" customFormat="1" x14ac:dyDescent="0.2">
      <c r="A165" s="407" t="s">
        <v>213</v>
      </c>
      <c r="B165" s="407"/>
      <c r="C165" s="407"/>
      <c r="D165" s="408">
        <f>D164+D161+D158+D139+D104+D101+D78+D44+D115</f>
        <v>196718881.97</v>
      </c>
      <c r="E165" s="408">
        <f>E164+E161+E158+E139+E104+E101+E78+E44+E115</f>
        <v>466124958.54999995</v>
      </c>
      <c r="F165" s="408">
        <f>F164+F161+F158+F139+F104+F101+F78+F44+F115</f>
        <v>664522344.02999997</v>
      </c>
      <c r="G165" s="409"/>
      <c r="H165" s="409"/>
      <c r="I165" s="408">
        <f>I164+I161+I158+I139+I104+I101+I78+I44+I115</f>
        <v>595052234.0474999</v>
      </c>
      <c r="J165" s="407"/>
      <c r="K165" s="407"/>
      <c r="L165" s="407"/>
      <c r="M165" s="410"/>
      <c r="N165" s="429"/>
      <c r="O165" s="237"/>
      <c r="P165" s="237"/>
      <c r="Q165" s="237"/>
      <c r="R165" s="237"/>
      <c r="S165" s="237"/>
      <c r="T165" s="237"/>
      <c r="U165" s="407"/>
      <c r="V165" s="71"/>
      <c r="W165" s="254"/>
    </row>
    <row r="166" spans="1:36" ht="19.5" customHeight="1" x14ac:dyDescent="0.2">
      <c r="F166" s="411"/>
      <c r="V166" s="250">
        <f>SUM(V6:V165)</f>
        <v>10859603.254999999</v>
      </c>
      <c r="W166" s="250">
        <f>SUM(W6:W165)</f>
        <v>19314036.977500003</v>
      </c>
    </row>
    <row r="167" spans="1:36" ht="24" x14ac:dyDescent="0.2">
      <c r="A167" s="391"/>
      <c r="B167" s="382"/>
      <c r="C167" s="412" t="s">
        <v>497</v>
      </c>
      <c r="D167" s="413"/>
    </row>
    <row r="171" spans="1:36" x14ac:dyDescent="0.2">
      <c r="J171" s="414"/>
    </row>
    <row r="172" spans="1:36" x14ac:dyDescent="0.2">
      <c r="J172" s="414"/>
      <c r="K172" s="415"/>
    </row>
  </sheetData>
  <sheetProtection algorithmName="SHA-512" hashValue="PCf5gQ05ey4tm8Z57oC3+wf0gufkm0mow2eMM7FnxF2bP/iadSgdi4BRr/PazTkoayNhOKVQnwLbN/A2REqx4Q==" saltValue="oIU79lL6V/889xPo4KY2XA==" spinCount="100000" sheet="1" objects="1" scenarios="1"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1.4.3 Transport</vt:lpstr>
      <vt:lpstr>1.4.4 Public Transport</vt:lpstr>
      <vt:lpstr>1.4.5 Community Facilities</vt:lpstr>
      <vt:lpstr>1.4.6 Active Recreation</vt:lpstr>
      <vt:lpstr>1.4.9 CIL Items</vt:lpstr>
      <vt:lpstr>Table 1</vt:lpstr>
      <vt:lpstr>Tables 2</vt:lpstr>
      <vt:lpstr>Table 3</vt:lpstr>
      <vt:lpstr>Table 4</vt:lpstr>
      <vt:lpstr>Table 5</vt:lpstr>
      <vt:lpstr>Table 6</vt:lpstr>
      <vt:lpstr>Table 7</vt:lpstr>
      <vt:lpstr>DIL</vt:lpstr>
      <vt:lpstr>CIL</vt:lpstr>
      <vt:lpstr>Sheet1</vt:lpstr>
    </vt:vector>
  </TitlesOfParts>
  <Company>Melton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Milbourne</dc:creator>
  <cp:lastModifiedBy>Matthew Milbourne</cp:lastModifiedBy>
  <dcterms:created xsi:type="dcterms:W3CDTF">2020-03-12T00:00:25Z</dcterms:created>
  <dcterms:modified xsi:type="dcterms:W3CDTF">2024-03-19T05:56:02Z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